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7115" windowHeight="7935" firstSheet="1" activeTab="3"/>
  </bookViews>
  <sheets>
    <sheet name="Design Process" sheetId="1" r:id="rId1"/>
    <sheet name="Instrument Data" sheetId="2" r:id="rId2"/>
    <sheet name="Orbit Characteristics" sheetId="3" r:id="rId3"/>
    <sheet name="Data Calculations" sheetId="4" r:id="rId4"/>
    <sheet name="Mass and Power Worksheet" sheetId="5" r:id="rId5"/>
    <sheet name="Spacecraft Data" sheetId="6" r:id="rId6"/>
    <sheet name="LV Data" sheetId="7" r:id="rId7"/>
    <sheet name="Cost Worksheet" sheetId="8" r:id="rId8"/>
    <sheet name="Selection Likelihood" sheetId="9" r:id="rId9"/>
  </sheets>
  <externalReferences>
    <externalReference r:id="rId12"/>
  </externalReferences>
  <definedNames>
    <definedName name="AddlMass">'Mass and Power Worksheet'!$J$35</definedName>
    <definedName name="AddlPwr1">'Mass and Power Worksheet'!$M$35</definedName>
    <definedName name="AddlPwr2">'Mass and Power Worksheet'!$N$35</definedName>
    <definedName name="AddlPwr3">'Mass and Power Worksheet'!$O$35</definedName>
    <definedName name="AddlPwr4">'Mass and Power Worksheet'!$P$35</definedName>
    <definedName name="AddlPwr5">'Mass and Power Worksheet'!$Q$35</definedName>
    <definedName name="Bus_Mass_CBE">'Mass and Power Worksheet'!$J$65</definedName>
    <definedName name="HTML1_1" hidden="1">"[X33FY97ver1.XLS]Summary!$A$1:$O$51"</definedName>
    <definedName name="HTML1_10" hidden="1">""</definedName>
    <definedName name="HTML1_11" hidden="1">1</definedName>
    <definedName name="HTML1_12" hidden="1">"web:users:X33:ProgOffice:X33FY97ver1.html"</definedName>
    <definedName name="HTML1_2" hidden="1">1</definedName>
    <definedName name="HTML1_3" hidden="1">"X33FY97ver1"</definedName>
    <definedName name="HTML1_4" hidden="1">"Summary of FY97 Budget"</definedName>
    <definedName name="HTML1_5" hidden="1">""</definedName>
    <definedName name="HTML1_6" hidden="1">-4146</definedName>
    <definedName name="HTML1_7" hidden="1">1</definedName>
    <definedName name="HTML1_8" hidden="1">"9/24/96"</definedName>
    <definedName name="HTML1_9" hidden="1">"Clark Briggs"</definedName>
    <definedName name="HTMLCount" hidden="1">1</definedName>
    <definedName name="Instruments_Mass_CBE">'Mass and Power Worksheet'!$J$21</definedName>
    <definedName name="Launch_Mass">'Mass and Power Worksheet'!$J$80</definedName>
    <definedName name="list_JettisonElts">'Mass and Power Worksheet'!$Q$109:$Q$120</definedName>
    <definedName name="list_studylevel">'Mass and Power Worksheet'!$B$131:$B$138</definedName>
    <definedName name="Mass_Change_InitTime">'Mass and Power Worksheet'!$AE$20</definedName>
    <definedName name="Mode1">'Mass and Power Worksheet'!$M$18</definedName>
    <definedName name="Mode2">'Mass and Power Worksheet'!$N$18</definedName>
    <definedName name="Mode3">'Mass and Power Worksheet'!$O$18</definedName>
    <definedName name="Mode4">'Mass and Power Worksheet'!$P$18</definedName>
    <definedName name="Mode5">'Mass and Power Worksheet'!$Q$18</definedName>
    <definedName name="numpmodes">'Mass and Power Worksheet'!$B$124</definedName>
    <definedName name="Power1">'Mass and Power Worksheet'!$M$70</definedName>
    <definedName name="Power2">'Mass and Power Worksheet'!$N$70</definedName>
    <definedName name="Power3">'Mass and Power Worksheet'!$O$70</definedName>
    <definedName name="Power4">'Mass and Power Worksheet'!$P$70</definedName>
    <definedName name="Power5">'Mass and Power Worksheet'!$Q$70</definedName>
    <definedName name="Previous_Bus_Mass_CBE">'Mass and Power Worksheet'!$AE$65</definedName>
    <definedName name="_xlnm.Print_Area" localSheetId="4">'Mass and Power Worksheet'!$A$2:$V$85</definedName>
    <definedName name="project_cost">'Mass and Power Worksheet'!$AA$83</definedName>
    <definedName name="redundancy">'Mass and Power Worksheet'!$M$11</definedName>
  </definedNames>
  <calcPr fullCalcOnLoad="1" iterate="1" iterateCount="100" iterateDelta="0.001"/>
</workbook>
</file>

<file path=xl/comments5.xml><?xml version="1.0" encoding="utf-8"?>
<comments xmlns="http://schemas.openxmlformats.org/spreadsheetml/2006/main">
  <authors>
    <author>elama</author>
    <author> Crusher</author>
    <author>tleavens</author>
    <author>tvanhout</author>
  </authors>
  <commentList>
    <comment ref="B19" authorId="0">
      <text>
        <r>
          <rPr>
            <b/>
            <sz val="8"/>
            <rFont val="Tahoma"/>
            <family val="2"/>
          </rPr>
          <t>ELM</t>
        </r>
        <r>
          <rPr>
            <sz val="8"/>
            <rFont val="Tahoma"/>
            <family val="2"/>
          </rPr>
          <t xml:space="preserve">
If decide to change to minutes, change Unit in outputs and inform Power!</t>
        </r>
      </text>
    </comment>
    <comment ref="B22" authorId="0">
      <text>
        <r>
          <rPr>
            <b/>
            <sz val="8"/>
            <rFont val="Tahoma"/>
            <family val="2"/>
          </rPr>
          <t xml:space="preserve">ELM: </t>
        </r>
        <r>
          <rPr>
            <sz val="8"/>
            <rFont val="Tahoma"/>
            <family val="2"/>
          </rPr>
          <t>these names and masses are linked to the Outputs. When editing, check these links.</t>
        </r>
      </text>
    </comment>
    <comment ref="N92" authorId="0">
      <text>
        <r>
          <rPr>
            <b/>
            <sz val="8"/>
            <rFont val="Tahoma"/>
            <family val="2"/>
          </rPr>
          <t xml:space="preserve">ELM: </t>
        </r>
        <r>
          <rPr>
            <sz val="8"/>
            <rFont val="Tahoma"/>
            <family val="2"/>
          </rPr>
          <t>should be 0% if these elements already include contingency</t>
        </r>
        <r>
          <rPr>
            <sz val="8"/>
            <rFont val="Tahoma"/>
            <family val="2"/>
          </rPr>
          <t xml:space="preserve">
</t>
        </r>
      </text>
    </comment>
    <comment ref="P92" authorId="0">
      <text>
        <r>
          <rPr>
            <b/>
            <sz val="8"/>
            <rFont val="Tahoma"/>
            <family val="2"/>
          </rPr>
          <t xml:space="preserve">ELM: </t>
        </r>
        <r>
          <rPr>
            <sz val="8"/>
            <rFont val="Tahoma"/>
            <family val="2"/>
          </rPr>
          <t>should be 0% if these elements already include contingency</t>
        </r>
        <r>
          <rPr>
            <sz val="8"/>
            <rFont val="Tahoma"/>
            <family val="2"/>
          </rPr>
          <t xml:space="preserve">
</t>
        </r>
      </text>
    </comment>
    <comment ref="N100" authorId="0">
      <text>
        <r>
          <rPr>
            <b/>
            <sz val="10"/>
            <rFont val="Tahoma"/>
            <family val="2"/>
          </rPr>
          <t xml:space="preserve">ELM: </t>
        </r>
        <r>
          <rPr>
            <sz val="10"/>
            <rFont val="Tahoma"/>
            <family val="2"/>
          </rPr>
          <t xml:space="preserve">edit for each study. Depends on the architecture.
</t>
        </r>
      </text>
    </comment>
    <comment ref="B32" authorId="0">
      <text>
        <r>
          <rPr>
            <b/>
            <sz val="8"/>
            <rFont val="Tahoma"/>
            <family val="2"/>
          </rPr>
          <t xml:space="preserve">ELM: </t>
        </r>
        <r>
          <rPr>
            <sz val="8"/>
            <rFont val="Tahoma"/>
            <family val="2"/>
          </rPr>
          <t>these names and masses are linked to the Outputs. When editing, check these links.</t>
        </r>
      </text>
    </comment>
    <comment ref="B33" authorId="0">
      <text>
        <r>
          <rPr>
            <b/>
            <sz val="8"/>
            <rFont val="Tahoma"/>
            <family val="2"/>
          </rPr>
          <t xml:space="preserve">ELM: </t>
        </r>
        <r>
          <rPr>
            <sz val="8"/>
            <rFont val="Tahoma"/>
            <family val="2"/>
          </rPr>
          <t>these names and masses are linked to the Outputs. When editing, check these links.</t>
        </r>
      </text>
    </comment>
    <comment ref="B34" authorId="0">
      <text>
        <r>
          <rPr>
            <b/>
            <sz val="8"/>
            <rFont val="Tahoma"/>
            <family val="2"/>
          </rPr>
          <t xml:space="preserve">ELM: </t>
        </r>
        <r>
          <rPr>
            <sz val="8"/>
            <rFont val="Tahoma"/>
            <family val="2"/>
          </rPr>
          <t>these names and masses are linked to the Outputs. When editing, check these links.</t>
        </r>
      </text>
    </comment>
    <comment ref="B35" authorId="0">
      <text>
        <r>
          <rPr>
            <b/>
            <sz val="8"/>
            <rFont val="Tahoma"/>
            <family val="2"/>
          </rPr>
          <t xml:space="preserve">ELM: </t>
        </r>
        <r>
          <rPr>
            <sz val="8"/>
            <rFont val="Tahoma"/>
            <family val="2"/>
          </rPr>
          <t>these names and masses are linked to the Outputs. When editing, check these links.</t>
        </r>
      </text>
    </comment>
    <comment ref="D99" authorId="0">
      <text>
        <r>
          <rPr>
            <b/>
            <sz val="10"/>
            <rFont val="Tahoma"/>
            <family val="2"/>
          </rPr>
          <t xml:space="preserve">ELM: </t>
        </r>
        <r>
          <rPr>
            <sz val="10"/>
            <rFont val="Tahoma"/>
            <family val="2"/>
          </rPr>
          <t xml:space="preserve">when  you need to use, edit the names of the jettison elements, and enter the appropriate formulas for their mass. </t>
        </r>
        <r>
          <rPr>
            <b/>
            <sz val="10"/>
            <rFont val="Tahoma"/>
            <family val="2"/>
          </rPr>
          <t xml:space="preserve">Create the appropriate links in the "Mission Plan" tab. </t>
        </r>
        <r>
          <rPr>
            <sz val="10"/>
            <rFont val="Tahoma"/>
            <family val="2"/>
          </rPr>
          <t>That tab is what is published to Propulsion.</t>
        </r>
      </text>
    </comment>
    <comment ref="J80" authorId="0">
      <text>
        <r>
          <rPr>
            <b/>
            <sz val="8"/>
            <rFont val="Tahoma"/>
            <family val="2"/>
          </rPr>
          <t xml:space="preserve">EL: </t>
        </r>
        <r>
          <rPr>
            <sz val="8"/>
            <rFont val="Tahoma"/>
            <family val="2"/>
          </rPr>
          <t>this is a named range. When changing the structure of the sheet, check your outputs.</t>
        </r>
        <r>
          <rPr>
            <sz val="8"/>
            <rFont val="Tahoma"/>
            <family val="2"/>
          </rPr>
          <t xml:space="preserve">
</t>
        </r>
      </text>
    </comment>
    <comment ref="M10" authorId="1">
      <text>
        <r>
          <rPr>
            <b/>
            <sz val="10"/>
            <rFont val="Tahoma"/>
            <family val="2"/>
          </rPr>
          <t xml:space="preserve">ELM: </t>
        </r>
        <r>
          <rPr>
            <sz val="10"/>
            <rFont val="Tahoma"/>
            <family val="2"/>
          </rPr>
          <t xml:space="preserve">make a formula here for the case you are running (depend on lifetime). The Guidelines link to this.
</t>
        </r>
      </text>
    </comment>
    <comment ref="N94" authorId="0">
      <text>
        <r>
          <rPr>
            <b/>
            <sz val="8"/>
            <rFont val="Tahoma"/>
            <family val="2"/>
          </rPr>
          <t>ELM: set in Guidelines</t>
        </r>
        <r>
          <rPr>
            <sz val="8"/>
            <rFont val="Tahoma"/>
            <family val="2"/>
          </rPr>
          <t xml:space="preserve">
</t>
        </r>
      </text>
    </comment>
    <comment ref="B30" authorId="0">
      <text>
        <r>
          <rPr>
            <b/>
            <sz val="8"/>
            <rFont val="Tahoma"/>
            <family val="2"/>
          </rPr>
          <t xml:space="preserve">ELM: </t>
        </r>
        <r>
          <rPr>
            <sz val="8"/>
            <rFont val="Tahoma"/>
            <family val="2"/>
          </rPr>
          <t>these names and masses are linked to the Outputs. When editing, check these links.</t>
        </r>
      </text>
    </comment>
    <comment ref="B31" authorId="0">
      <text>
        <r>
          <rPr>
            <b/>
            <sz val="8"/>
            <rFont val="Tahoma"/>
            <family val="2"/>
          </rPr>
          <t xml:space="preserve">ELM: </t>
        </r>
        <r>
          <rPr>
            <sz val="8"/>
            <rFont val="Tahoma"/>
            <family val="2"/>
          </rPr>
          <t>these names and masses are linked to the Outputs. When editing, check these links.</t>
        </r>
      </text>
    </comment>
    <comment ref="B23" authorId="0">
      <text>
        <r>
          <rPr>
            <b/>
            <sz val="8"/>
            <rFont val="Tahoma"/>
            <family val="2"/>
          </rPr>
          <t xml:space="preserve">ELM: </t>
        </r>
        <r>
          <rPr>
            <sz val="8"/>
            <rFont val="Tahoma"/>
            <family val="2"/>
          </rPr>
          <t>these names and masses are linked to the Outputs. When editing, check these links.</t>
        </r>
      </text>
    </comment>
    <comment ref="B24" authorId="0">
      <text>
        <r>
          <rPr>
            <b/>
            <sz val="8"/>
            <rFont val="Tahoma"/>
            <family val="2"/>
          </rPr>
          <t xml:space="preserve">ELM: </t>
        </r>
        <r>
          <rPr>
            <sz val="8"/>
            <rFont val="Tahoma"/>
            <family val="2"/>
          </rPr>
          <t>these names and masses are linked to the Outputs. When editing, check these links.</t>
        </r>
      </text>
    </comment>
    <comment ref="B25" authorId="0">
      <text>
        <r>
          <rPr>
            <b/>
            <sz val="8"/>
            <rFont val="Tahoma"/>
            <family val="2"/>
          </rPr>
          <t xml:space="preserve">ELM: </t>
        </r>
        <r>
          <rPr>
            <sz val="8"/>
            <rFont val="Tahoma"/>
            <family val="2"/>
          </rPr>
          <t>these names and masses are linked to the Outputs. When editing, check these links.</t>
        </r>
      </text>
    </comment>
    <comment ref="B26" authorId="0">
      <text>
        <r>
          <rPr>
            <b/>
            <sz val="8"/>
            <rFont val="Tahoma"/>
            <family val="2"/>
          </rPr>
          <t xml:space="preserve">ELM: </t>
        </r>
        <r>
          <rPr>
            <sz val="8"/>
            <rFont val="Tahoma"/>
            <family val="2"/>
          </rPr>
          <t>these names and masses are linked to the Outputs. When editing, check these links.</t>
        </r>
      </text>
    </comment>
    <comment ref="B27" authorId="0">
      <text>
        <r>
          <rPr>
            <b/>
            <sz val="8"/>
            <rFont val="Tahoma"/>
            <family val="2"/>
          </rPr>
          <t xml:space="preserve">ELM: </t>
        </r>
        <r>
          <rPr>
            <sz val="8"/>
            <rFont val="Tahoma"/>
            <family val="2"/>
          </rPr>
          <t>these names and masses are linked to the Outputs. When editing, check these links.</t>
        </r>
      </text>
    </comment>
    <comment ref="M110" authorId="0">
      <text>
        <r>
          <rPr>
            <b/>
            <sz val="8"/>
            <rFont val="Tahoma"/>
            <family val="2"/>
          </rPr>
          <t xml:space="preserve">ELM: </t>
        </r>
        <r>
          <rPr>
            <sz val="8"/>
            <rFont val="Tahoma"/>
            <family val="2"/>
          </rPr>
          <t>link to appropriate cell  in the "Mission Plan"</t>
        </r>
        <r>
          <rPr>
            <sz val="8"/>
            <rFont val="Tahoma"/>
            <family val="2"/>
          </rPr>
          <t xml:space="preserve">
</t>
        </r>
      </text>
    </comment>
    <comment ref="M111" authorId="0">
      <text>
        <r>
          <rPr>
            <b/>
            <sz val="8"/>
            <rFont val="Tahoma"/>
            <family val="2"/>
          </rPr>
          <t xml:space="preserve">ELM: </t>
        </r>
        <r>
          <rPr>
            <sz val="8"/>
            <rFont val="Tahoma"/>
            <family val="2"/>
          </rPr>
          <t>link to appropriate cell  in the "Mission Plan"</t>
        </r>
        <r>
          <rPr>
            <sz val="8"/>
            <rFont val="Tahoma"/>
            <family val="2"/>
          </rPr>
          <t xml:space="preserve">
</t>
        </r>
      </text>
    </comment>
    <comment ref="M112" authorId="0">
      <text>
        <r>
          <rPr>
            <b/>
            <sz val="8"/>
            <rFont val="Tahoma"/>
            <family val="2"/>
          </rPr>
          <t xml:space="preserve">ELM: </t>
        </r>
        <r>
          <rPr>
            <sz val="8"/>
            <rFont val="Tahoma"/>
            <family val="2"/>
          </rPr>
          <t>link to appropriate cell  in the "Mission Plan"</t>
        </r>
        <r>
          <rPr>
            <sz val="8"/>
            <rFont val="Tahoma"/>
            <family val="2"/>
          </rPr>
          <t xml:space="preserve">
</t>
        </r>
      </text>
    </comment>
    <comment ref="M113" authorId="0">
      <text>
        <r>
          <rPr>
            <b/>
            <sz val="8"/>
            <rFont val="Tahoma"/>
            <family val="2"/>
          </rPr>
          <t xml:space="preserve">ELM: </t>
        </r>
        <r>
          <rPr>
            <sz val="8"/>
            <rFont val="Tahoma"/>
            <family val="2"/>
          </rPr>
          <t>link to appropriate cell  in the "Mission Plan"</t>
        </r>
        <r>
          <rPr>
            <sz val="8"/>
            <rFont val="Tahoma"/>
            <family val="2"/>
          </rPr>
          <t xml:space="preserve">
</t>
        </r>
      </text>
    </comment>
    <comment ref="M114" authorId="0">
      <text>
        <r>
          <rPr>
            <b/>
            <sz val="8"/>
            <rFont val="Tahoma"/>
            <family val="2"/>
          </rPr>
          <t xml:space="preserve">ELM: </t>
        </r>
        <r>
          <rPr>
            <sz val="8"/>
            <rFont val="Tahoma"/>
            <family val="2"/>
          </rPr>
          <t>link to appropriate cell  in the "Mission Plan"</t>
        </r>
        <r>
          <rPr>
            <sz val="8"/>
            <rFont val="Tahoma"/>
            <family val="2"/>
          </rPr>
          <t xml:space="preserve">
</t>
        </r>
      </text>
    </comment>
    <comment ref="M115" authorId="0">
      <text>
        <r>
          <rPr>
            <b/>
            <sz val="8"/>
            <rFont val="Tahoma"/>
            <family val="2"/>
          </rPr>
          <t xml:space="preserve">ELM: </t>
        </r>
        <r>
          <rPr>
            <sz val="8"/>
            <rFont val="Tahoma"/>
            <family val="2"/>
          </rPr>
          <t>link to appropriate cell  in the "Mission Plan"</t>
        </r>
        <r>
          <rPr>
            <sz val="8"/>
            <rFont val="Tahoma"/>
            <family val="2"/>
          </rPr>
          <t xml:space="preserve">
</t>
        </r>
      </text>
    </comment>
    <comment ref="M116" authorId="0">
      <text>
        <r>
          <rPr>
            <b/>
            <sz val="8"/>
            <rFont val="Tahoma"/>
            <family val="2"/>
          </rPr>
          <t xml:space="preserve">ELM: </t>
        </r>
        <r>
          <rPr>
            <sz val="8"/>
            <rFont val="Tahoma"/>
            <family val="2"/>
          </rPr>
          <t>link to appropriate cell  in the "Mission Plan"</t>
        </r>
        <r>
          <rPr>
            <sz val="8"/>
            <rFont val="Tahoma"/>
            <family val="2"/>
          </rPr>
          <t xml:space="preserve">
</t>
        </r>
      </text>
    </comment>
    <comment ref="M117" authorId="0">
      <text>
        <r>
          <rPr>
            <b/>
            <sz val="8"/>
            <rFont val="Tahoma"/>
            <family val="2"/>
          </rPr>
          <t xml:space="preserve">ELM: </t>
        </r>
        <r>
          <rPr>
            <sz val="8"/>
            <rFont val="Tahoma"/>
            <family val="2"/>
          </rPr>
          <t>link to appropriate cell  in the "Mission Plan"</t>
        </r>
        <r>
          <rPr>
            <sz val="8"/>
            <rFont val="Tahoma"/>
            <family val="2"/>
          </rPr>
          <t xml:space="preserve">
</t>
        </r>
      </text>
    </comment>
    <comment ref="M118" authorId="0">
      <text>
        <r>
          <rPr>
            <b/>
            <sz val="8"/>
            <rFont val="Tahoma"/>
            <family val="2"/>
          </rPr>
          <t xml:space="preserve">ELM: </t>
        </r>
        <r>
          <rPr>
            <sz val="8"/>
            <rFont val="Tahoma"/>
            <family val="2"/>
          </rPr>
          <t>link to appropriate cell  in the "Mission Plan"</t>
        </r>
        <r>
          <rPr>
            <sz val="8"/>
            <rFont val="Tahoma"/>
            <family val="2"/>
          </rPr>
          <t xml:space="preserve">
</t>
        </r>
      </text>
    </comment>
    <comment ref="M119" authorId="0">
      <text>
        <r>
          <rPr>
            <b/>
            <sz val="8"/>
            <rFont val="Tahoma"/>
            <family val="2"/>
          </rPr>
          <t xml:space="preserve">ELM: </t>
        </r>
        <r>
          <rPr>
            <sz val="8"/>
            <rFont val="Tahoma"/>
            <family val="2"/>
          </rPr>
          <t>link to appropriate cell  in the "Mission Plan"</t>
        </r>
        <r>
          <rPr>
            <sz val="8"/>
            <rFont val="Tahoma"/>
            <family val="2"/>
          </rPr>
          <t xml:space="preserve">
</t>
        </r>
      </text>
    </comment>
    <comment ref="M120" authorId="0">
      <text>
        <r>
          <rPr>
            <b/>
            <sz val="8"/>
            <rFont val="Tahoma"/>
            <family val="2"/>
          </rPr>
          <t xml:space="preserve">ELM: </t>
        </r>
        <r>
          <rPr>
            <sz val="8"/>
            <rFont val="Tahoma"/>
            <family val="2"/>
          </rPr>
          <t>link to appropriate cell  in the "Mission Plan"</t>
        </r>
        <r>
          <rPr>
            <sz val="8"/>
            <rFont val="Tahoma"/>
            <family val="2"/>
          </rPr>
          <t xml:space="preserve">
</t>
        </r>
      </text>
    </comment>
    <comment ref="T109" authorId="0">
      <text>
        <r>
          <rPr>
            <b/>
            <sz val="8"/>
            <rFont val="Tahoma"/>
            <family val="2"/>
          </rPr>
          <t xml:space="preserve">ELM: </t>
        </r>
        <r>
          <rPr>
            <sz val="8"/>
            <rFont val="Tahoma"/>
            <family val="2"/>
          </rPr>
          <t>create inputs from Structures and Thermal OR link directly to MEL spreadsheet.</t>
        </r>
        <r>
          <rPr>
            <sz val="8"/>
            <rFont val="Tahoma"/>
            <family val="2"/>
          </rPr>
          <t xml:space="preserve">
</t>
        </r>
      </text>
    </comment>
    <comment ref="U109" authorId="0">
      <text>
        <r>
          <rPr>
            <b/>
            <sz val="8"/>
            <rFont val="Tahoma"/>
            <family val="2"/>
          </rPr>
          <t xml:space="preserve">ELM: </t>
        </r>
        <r>
          <rPr>
            <sz val="8"/>
            <rFont val="Tahoma"/>
            <family val="2"/>
          </rPr>
          <t>create inputs from Structures and Thermal OR link directly to MEL spreadsheet.</t>
        </r>
        <r>
          <rPr>
            <sz val="8"/>
            <rFont val="Tahoma"/>
            <family val="2"/>
          </rPr>
          <t xml:space="preserve">
</t>
        </r>
      </text>
    </comment>
    <comment ref="V109" authorId="0">
      <text>
        <r>
          <rPr>
            <b/>
            <sz val="8"/>
            <rFont val="Tahoma"/>
            <family val="2"/>
          </rPr>
          <t xml:space="preserve">ELM: </t>
        </r>
        <r>
          <rPr>
            <sz val="8"/>
            <rFont val="Tahoma"/>
            <family val="2"/>
          </rPr>
          <t>create inputs from Structures and Thermal OR link directly to MEL spreadsheet.</t>
        </r>
        <r>
          <rPr>
            <sz val="8"/>
            <rFont val="Tahoma"/>
            <family val="2"/>
          </rPr>
          <t xml:space="preserve">
</t>
        </r>
      </text>
    </comment>
    <comment ref="T110" authorId="0">
      <text>
        <r>
          <rPr>
            <b/>
            <sz val="8"/>
            <rFont val="Tahoma"/>
            <family val="2"/>
          </rPr>
          <t xml:space="preserve">ELM: </t>
        </r>
        <r>
          <rPr>
            <sz val="8"/>
            <rFont val="Tahoma"/>
            <family val="2"/>
          </rPr>
          <t>create inputs from Structures and Thermal OR link directly to MEL spreadsheet.</t>
        </r>
        <r>
          <rPr>
            <sz val="8"/>
            <rFont val="Tahoma"/>
            <family val="2"/>
          </rPr>
          <t xml:space="preserve">
</t>
        </r>
      </text>
    </comment>
    <comment ref="U110" authorId="0">
      <text>
        <r>
          <rPr>
            <b/>
            <sz val="8"/>
            <rFont val="Tahoma"/>
            <family val="2"/>
          </rPr>
          <t xml:space="preserve">ELM: </t>
        </r>
        <r>
          <rPr>
            <sz val="8"/>
            <rFont val="Tahoma"/>
            <family val="2"/>
          </rPr>
          <t>create inputs from Structures and Thermal OR link directly to MEL spreadsheet.</t>
        </r>
        <r>
          <rPr>
            <sz val="8"/>
            <rFont val="Tahoma"/>
            <family val="2"/>
          </rPr>
          <t xml:space="preserve">
</t>
        </r>
      </text>
    </comment>
    <comment ref="V110" authorId="0">
      <text>
        <r>
          <rPr>
            <b/>
            <sz val="8"/>
            <rFont val="Tahoma"/>
            <family val="2"/>
          </rPr>
          <t xml:space="preserve">ELM: </t>
        </r>
        <r>
          <rPr>
            <sz val="8"/>
            <rFont val="Tahoma"/>
            <family val="2"/>
          </rPr>
          <t>create inputs from Structures and Thermal OR link directly to MEL spreadsheet.</t>
        </r>
        <r>
          <rPr>
            <sz val="8"/>
            <rFont val="Tahoma"/>
            <family val="2"/>
          </rPr>
          <t xml:space="preserve">
</t>
        </r>
      </text>
    </comment>
    <comment ref="T111" authorId="0">
      <text>
        <r>
          <rPr>
            <b/>
            <sz val="8"/>
            <rFont val="Tahoma"/>
            <family val="2"/>
          </rPr>
          <t xml:space="preserve">ELM: </t>
        </r>
        <r>
          <rPr>
            <sz val="8"/>
            <rFont val="Tahoma"/>
            <family val="2"/>
          </rPr>
          <t>create inputs from Structures and Thermal OR link directly to MEL spreadsheet.</t>
        </r>
        <r>
          <rPr>
            <sz val="8"/>
            <rFont val="Tahoma"/>
            <family val="2"/>
          </rPr>
          <t xml:space="preserve">
</t>
        </r>
      </text>
    </comment>
    <comment ref="U111" authorId="0">
      <text>
        <r>
          <rPr>
            <b/>
            <sz val="8"/>
            <rFont val="Tahoma"/>
            <family val="2"/>
          </rPr>
          <t xml:space="preserve">ELM: </t>
        </r>
        <r>
          <rPr>
            <sz val="8"/>
            <rFont val="Tahoma"/>
            <family val="2"/>
          </rPr>
          <t>create inputs from Structures and Thermal OR link directly to MEL spreadsheet.</t>
        </r>
        <r>
          <rPr>
            <sz val="8"/>
            <rFont val="Tahoma"/>
            <family val="2"/>
          </rPr>
          <t xml:space="preserve">
</t>
        </r>
      </text>
    </comment>
    <comment ref="V111" authorId="0">
      <text>
        <r>
          <rPr>
            <b/>
            <sz val="8"/>
            <rFont val="Tahoma"/>
            <family val="2"/>
          </rPr>
          <t xml:space="preserve">ELM: </t>
        </r>
        <r>
          <rPr>
            <sz val="8"/>
            <rFont val="Tahoma"/>
            <family val="2"/>
          </rPr>
          <t>create inputs from Structures and Thermal OR link directly to MEL spreadsheet.</t>
        </r>
        <r>
          <rPr>
            <sz val="8"/>
            <rFont val="Tahoma"/>
            <family val="2"/>
          </rPr>
          <t xml:space="preserve">
</t>
        </r>
      </text>
    </comment>
    <comment ref="T112" authorId="0">
      <text>
        <r>
          <rPr>
            <b/>
            <sz val="8"/>
            <rFont val="Tahoma"/>
            <family val="2"/>
          </rPr>
          <t xml:space="preserve">ELM: </t>
        </r>
        <r>
          <rPr>
            <sz val="8"/>
            <rFont val="Tahoma"/>
            <family val="2"/>
          </rPr>
          <t>create inputs from Structures and Thermal OR link directly to MEL spreadsheet.</t>
        </r>
        <r>
          <rPr>
            <sz val="8"/>
            <rFont val="Tahoma"/>
            <family val="2"/>
          </rPr>
          <t xml:space="preserve">
</t>
        </r>
      </text>
    </comment>
    <comment ref="U112" authorId="0">
      <text>
        <r>
          <rPr>
            <b/>
            <sz val="8"/>
            <rFont val="Tahoma"/>
            <family val="2"/>
          </rPr>
          <t xml:space="preserve">ELM: </t>
        </r>
        <r>
          <rPr>
            <sz val="8"/>
            <rFont val="Tahoma"/>
            <family val="2"/>
          </rPr>
          <t>create inputs from Structures and Thermal OR link directly to MEL spreadsheet.</t>
        </r>
        <r>
          <rPr>
            <sz val="8"/>
            <rFont val="Tahoma"/>
            <family val="2"/>
          </rPr>
          <t xml:space="preserve">
</t>
        </r>
      </text>
    </comment>
    <comment ref="V112" authorId="0">
      <text>
        <r>
          <rPr>
            <b/>
            <sz val="8"/>
            <rFont val="Tahoma"/>
            <family val="2"/>
          </rPr>
          <t xml:space="preserve">ELM: </t>
        </r>
        <r>
          <rPr>
            <sz val="8"/>
            <rFont val="Tahoma"/>
            <family val="2"/>
          </rPr>
          <t>create inputs from Structures and Thermal OR link directly to MEL spreadsheet.</t>
        </r>
        <r>
          <rPr>
            <sz val="8"/>
            <rFont val="Tahoma"/>
            <family val="2"/>
          </rPr>
          <t xml:space="preserve">
</t>
        </r>
      </text>
    </comment>
    <comment ref="T113" authorId="0">
      <text>
        <r>
          <rPr>
            <b/>
            <sz val="8"/>
            <rFont val="Tahoma"/>
            <family val="2"/>
          </rPr>
          <t xml:space="preserve">ELM: </t>
        </r>
        <r>
          <rPr>
            <sz val="8"/>
            <rFont val="Tahoma"/>
            <family val="2"/>
          </rPr>
          <t>create inputs from Structures and Thermal OR link directly to MEL spreadsheet.</t>
        </r>
        <r>
          <rPr>
            <sz val="8"/>
            <rFont val="Tahoma"/>
            <family val="2"/>
          </rPr>
          <t xml:space="preserve">
</t>
        </r>
      </text>
    </comment>
    <comment ref="U113" authorId="0">
      <text>
        <r>
          <rPr>
            <b/>
            <sz val="8"/>
            <rFont val="Tahoma"/>
            <family val="2"/>
          </rPr>
          <t xml:space="preserve">ELM: </t>
        </r>
        <r>
          <rPr>
            <sz val="8"/>
            <rFont val="Tahoma"/>
            <family val="2"/>
          </rPr>
          <t>create inputs from Structures and Thermal OR link directly to MEL spreadsheet.</t>
        </r>
        <r>
          <rPr>
            <sz val="8"/>
            <rFont val="Tahoma"/>
            <family val="2"/>
          </rPr>
          <t xml:space="preserve">
</t>
        </r>
      </text>
    </comment>
    <comment ref="V113" authorId="0">
      <text>
        <r>
          <rPr>
            <b/>
            <sz val="8"/>
            <rFont val="Tahoma"/>
            <family val="2"/>
          </rPr>
          <t xml:space="preserve">ELM: </t>
        </r>
        <r>
          <rPr>
            <sz val="8"/>
            <rFont val="Tahoma"/>
            <family val="2"/>
          </rPr>
          <t>create inputs from Structures and Thermal OR link directly to MEL spreadsheet.</t>
        </r>
        <r>
          <rPr>
            <sz val="8"/>
            <rFont val="Tahoma"/>
            <family val="2"/>
          </rPr>
          <t xml:space="preserve">
</t>
        </r>
      </text>
    </comment>
    <comment ref="T114" authorId="0">
      <text>
        <r>
          <rPr>
            <b/>
            <sz val="8"/>
            <rFont val="Tahoma"/>
            <family val="2"/>
          </rPr>
          <t xml:space="preserve">ELM: </t>
        </r>
        <r>
          <rPr>
            <sz val="8"/>
            <rFont val="Tahoma"/>
            <family val="2"/>
          </rPr>
          <t>create inputs from Structures and Thermal OR link directly to MEL spreadsheet.</t>
        </r>
        <r>
          <rPr>
            <sz val="8"/>
            <rFont val="Tahoma"/>
            <family val="2"/>
          </rPr>
          <t xml:space="preserve">
</t>
        </r>
      </text>
    </comment>
    <comment ref="U114" authorId="0">
      <text>
        <r>
          <rPr>
            <b/>
            <sz val="8"/>
            <rFont val="Tahoma"/>
            <family val="2"/>
          </rPr>
          <t xml:space="preserve">ELM: </t>
        </r>
        <r>
          <rPr>
            <sz val="8"/>
            <rFont val="Tahoma"/>
            <family val="2"/>
          </rPr>
          <t>create inputs from Structures and Thermal OR link directly to MEL spreadsheet.</t>
        </r>
        <r>
          <rPr>
            <sz val="8"/>
            <rFont val="Tahoma"/>
            <family val="2"/>
          </rPr>
          <t xml:space="preserve">
</t>
        </r>
      </text>
    </comment>
    <comment ref="V114" authorId="0">
      <text>
        <r>
          <rPr>
            <b/>
            <sz val="8"/>
            <rFont val="Tahoma"/>
            <family val="2"/>
          </rPr>
          <t xml:space="preserve">ELM: </t>
        </r>
        <r>
          <rPr>
            <sz val="8"/>
            <rFont val="Tahoma"/>
            <family val="2"/>
          </rPr>
          <t>create inputs from Structures and Thermal OR link directly to MEL spreadsheet.</t>
        </r>
        <r>
          <rPr>
            <sz val="8"/>
            <rFont val="Tahoma"/>
            <family val="2"/>
          </rPr>
          <t xml:space="preserve">
</t>
        </r>
      </text>
    </comment>
    <comment ref="T115" authorId="0">
      <text>
        <r>
          <rPr>
            <b/>
            <sz val="8"/>
            <rFont val="Tahoma"/>
            <family val="2"/>
          </rPr>
          <t xml:space="preserve">ELM: </t>
        </r>
        <r>
          <rPr>
            <sz val="8"/>
            <rFont val="Tahoma"/>
            <family val="2"/>
          </rPr>
          <t>create inputs from Structures and Thermal OR link directly to MEL spreadsheet.</t>
        </r>
        <r>
          <rPr>
            <sz val="8"/>
            <rFont val="Tahoma"/>
            <family val="2"/>
          </rPr>
          <t xml:space="preserve">
</t>
        </r>
      </text>
    </comment>
    <comment ref="U115" authorId="0">
      <text>
        <r>
          <rPr>
            <b/>
            <sz val="8"/>
            <rFont val="Tahoma"/>
            <family val="2"/>
          </rPr>
          <t xml:space="preserve">ELM: </t>
        </r>
        <r>
          <rPr>
            <sz val="8"/>
            <rFont val="Tahoma"/>
            <family val="2"/>
          </rPr>
          <t>create inputs from Structures and Thermal OR link directly to MEL spreadsheet.</t>
        </r>
        <r>
          <rPr>
            <sz val="8"/>
            <rFont val="Tahoma"/>
            <family val="2"/>
          </rPr>
          <t xml:space="preserve">
</t>
        </r>
      </text>
    </comment>
    <comment ref="V115" authorId="0">
      <text>
        <r>
          <rPr>
            <b/>
            <sz val="8"/>
            <rFont val="Tahoma"/>
            <family val="2"/>
          </rPr>
          <t xml:space="preserve">ELM: </t>
        </r>
        <r>
          <rPr>
            <sz val="8"/>
            <rFont val="Tahoma"/>
            <family val="2"/>
          </rPr>
          <t>create inputs from Structures and Thermal OR link directly to MEL spreadsheet.</t>
        </r>
        <r>
          <rPr>
            <sz val="8"/>
            <rFont val="Tahoma"/>
            <family val="2"/>
          </rPr>
          <t xml:space="preserve">
</t>
        </r>
      </text>
    </comment>
    <comment ref="D116" authorId="0">
      <text>
        <r>
          <rPr>
            <b/>
            <sz val="8"/>
            <rFont val="Tahoma"/>
            <family val="2"/>
          </rPr>
          <t xml:space="preserve">ELM: </t>
        </r>
        <r>
          <rPr>
            <sz val="8"/>
            <rFont val="Tahoma"/>
            <family val="2"/>
          </rPr>
          <t>edit the jettison order to match the mission scenario; you can also add jettison elements in the table to the right.</t>
        </r>
        <r>
          <rPr>
            <sz val="8"/>
            <rFont val="Tahoma"/>
            <family val="2"/>
          </rPr>
          <t xml:space="preserve">
</t>
        </r>
      </text>
    </comment>
    <comment ref="D117" authorId="0">
      <text>
        <r>
          <rPr>
            <b/>
            <sz val="8"/>
            <rFont val="Tahoma"/>
            <family val="2"/>
          </rPr>
          <t xml:space="preserve">ELM: </t>
        </r>
        <r>
          <rPr>
            <sz val="8"/>
            <rFont val="Tahoma"/>
            <family val="2"/>
          </rPr>
          <t>edit the jettison order to match the mission scenario; you can also add jettison elements in the table to the right.</t>
        </r>
        <r>
          <rPr>
            <sz val="8"/>
            <rFont val="Tahoma"/>
            <family val="2"/>
          </rPr>
          <t xml:space="preserve">
</t>
        </r>
      </text>
    </comment>
    <comment ref="D118" authorId="0">
      <text>
        <r>
          <rPr>
            <b/>
            <sz val="8"/>
            <rFont val="Tahoma"/>
            <family val="2"/>
          </rPr>
          <t xml:space="preserve">ELM: </t>
        </r>
        <r>
          <rPr>
            <sz val="8"/>
            <rFont val="Tahoma"/>
            <family val="2"/>
          </rPr>
          <t>edit the jettison order to match the mission scenario; you can also add jettison elements in the table to the right.</t>
        </r>
        <r>
          <rPr>
            <sz val="8"/>
            <rFont val="Tahoma"/>
            <family val="2"/>
          </rPr>
          <t xml:space="preserve">
</t>
        </r>
      </text>
    </comment>
    <comment ref="D119" authorId="0">
      <text>
        <r>
          <rPr>
            <b/>
            <sz val="8"/>
            <rFont val="Tahoma"/>
            <family val="2"/>
          </rPr>
          <t xml:space="preserve">ELM: </t>
        </r>
        <r>
          <rPr>
            <sz val="8"/>
            <rFont val="Tahoma"/>
            <family val="2"/>
          </rPr>
          <t>edit the jettison order to match the mission scenario; you can also add jettison elements in the table to the right.</t>
        </r>
        <r>
          <rPr>
            <sz val="8"/>
            <rFont val="Tahoma"/>
            <family val="2"/>
          </rPr>
          <t xml:space="preserve">
</t>
        </r>
      </text>
    </comment>
    <comment ref="D120" authorId="0">
      <text>
        <r>
          <rPr>
            <b/>
            <sz val="8"/>
            <rFont val="Tahoma"/>
            <family val="2"/>
          </rPr>
          <t xml:space="preserve">ELM: </t>
        </r>
        <r>
          <rPr>
            <sz val="8"/>
            <rFont val="Tahoma"/>
            <family val="2"/>
          </rPr>
          <t>edit the jettison order to match the mission scenario; you can also add jettison elements in the table to the right.</t>
        </r>
        <r>
          <rPr>
            <sz val="8"/>
            <rFont val="Tahoma"/>
            <family val="2"/>
          </rPr>
          <t xml:space="preserve">
</t>
        </r>
      </text>
    </comment>
    <comment ref="D115" authorId="0">
      <text>
        <r>
          <rPr>
            <b/>
            <sz val="8"/>
            <rFont val="Tahoma"/>
            <family val="2"/>
          </rPr>
          <t xml:space="preserve">ELM: </t>
        </r>
        <r>
          <rPr>
            <sz val="8"/>
            <rFont val="Tahoma"/>
            <family val="2"/>
          </rPr>
          <t>edit the jettison order to match the mission scenario; you can also add jettison elements in the table to the right.</t>
        </r>
        <r>
          <rPr>
            <sz val="8"/>
            <rFont val="Tahoma"/>
            <family val="2"/>
          </rPr>
          <t xml:space="preserve">
</t>
        </r>
      </text>
    </comment>
    <comment ref="D114" authorId="0">
      <text>
        <r>
          <rPr>
            <b/>
            <sz val="8"/>
            <rFont val="Tahoma"/>
            <family val="2"/>
          </rPr>
          <t xml:space="preserve">ELM: </t>
        </r>
        <r>
          <rPr>
            <sz val="8"/>
            <rFont val="Tahoma"/>
            <family val="2"/>
          </rPr>
          <t>edit the jettison order to match the mission scenario; you can also add jettison elements in the table to the right.</t>
        </r>
        <r>
          <rPr>
            <sz val="8"/>
            <rFont val="Tahoma"/>
            <family val="2"/>
          </rPr>
          <t xml:space="preserve">
</t>
        </r>
      </text>
    </comment>
    <comment ref="D113" authorId="0">
      <text>
        <r>
          <rPr>
            <b/>
            <sz val="8"/>
            <rFont val="Tahoma"/>
            <family val="2"/>
          </rPr>
          <t xml:space="preserve">ELM: </t>
        </r>
        <r>
          <rPr>
            <sz val="8"/>
            <rFont val="Tahoma"/>
            <family val="2"/>
          </rPr>
          <t>edit the jettison order to match the mission scenario; you can also add jettison elements in the table to the right.</t>
        </r>
        <r>
          <rPr>
            <sz val="8"/>
            <rFont val="Tahoma"/>
            <family val="2"/>
          </rPr>
          <t xml:space="preserve">
</t>
        </r>
      </text>
    </comment>
    <comment ref="D112" authorId="0">
      <text>
        <r>
          <rPr>
            <b/>
            <sz val="8"/>
            <rFont val="Tahoma"/>
            <family val="2"/>
          </rPr>
          <t xml:space="preserve">ELM: </t>
        </r>
        <r>
          <rPr>
            <sz val="8"/>
            <rFont val="Tahoma"/>
            <family val="2"/>
          </rPr>
          <t>edit the jettison order to match the mission scenario; you can also add jettison elements in the table to the right.</t>
        </r>
        <r>
          <rPr>
            <sz val="8"/>
            <rFont val="Tahoma"/>
            <family val="2"/>
          </rPr>
          <t xml:space="preserve">
</t>
        </r>
      </text>
    </comment>
    <comment ref="D111" authorId="0">
      <text>
        <r>
          <rPr>
            <b/>
            <sz val="8"/>
            <rFont val="Tahoma"/>
            <family val="2"/>
          </rPr>
          <t xml:space="preserve">ELM: </t>
        </r>
        <r>
          <rPr>
            <sz val="8"/>
            <rFont val="Tahoma"/>
            <family val="2"/>
          </rPr>
          <t>edit the jettison order to match the mission scenario; you can also add jettison elements in the table to the right.</t>
        </r>
        <r>
          <rPr>
            <sz val="8"/>
            <rFont val="Tahoma"/>
            <family val="2"/>
          </rPr>
          <t xml:space="preserve">
</t>
        </r>
      </text>
    </comment>
    <comment ref="AG55" authorId="2">
      <text>
        <r>
          <rPr>
            <b/>
            <sz val="8"/>
            <rFont val="Tahoma"/>
            <family val="2"/>
          </rPr>
          <t>tleavens:</t>
        </r>
        <r>
          <rPr>
            <sz val="8"/>
            <rFont val="Tahoma"/>
            <family val="2"/>
          </rPr>
          <t xml:space="preserve">
Take out this equation when CDS no longer has "no entry" being sent through</t>
        </r>
      </text>
    </comment>
    <comment ref="J30" authorId="2">
      <text>
        <r>
          <rPr>
            <b/>
            <sz val="11"/>
            <rFont val="Tahoma"/>
            <family val="2"/>
          </rPr>
          <t>tvanhout:</t>
        </r>
        <r>
          <rPr>
            <sz val="11"/>
            <rFont val="Tahoma"/>
            <family val="2"/>
          </rPr>
          <t xml:space="preserve">
Insert links to the other Element Sheets in the "Received" Column to the right. This way, the override table can be used.</t>
        </r>
      </text>
    </comment>
    <comment ref="L66" authorId="2">
      <text>
        <r>
          <rPr>
            <b/>
            <sz val="8"/>
            <rFont val="Tahoma"/>
            <family val="2"/>
          </rPr>
          <t xml:space="preserve">tvanhout:  </t>
        </r>
        <r>
          <rPr>
            <sz val="8"/>
            <rFont val="Tahoma"/>
            <family val="2"/>
          </rPr>
          <t>add a formula here for thermally controlled mass -- speak with Thermal Chair for each study.  Thermal wants #s WITH contingency from SE.</t>
        </r>
        <r>
          <rPr>
            <sz val="8"/>
            <rFont val="Tahoma"/>
            <family val="2"/>
          </rPr>
          <t xml:space="preserve">
</t>
        </r>
      </text>
    </comment>
    <comment ref="M76" authorId="3">
      <text>
        <r>
          <rPr>
            <b/>
            <sz val="8"/>
            <rFont val="Tahoma"/>
            <family val="2"/>
          </rPr>
          <t>tvanhout:</t>
        </r>
        <r>
          <rPr>
            <sz val="8"/>
            <rFont val="Tahoma"/>
            <family val="2"/>
          </rPr>
          <t xml:space="preserve">
Make this zero if there is no aeroshell</t>
        </r>
      </text>
    </comment>
    <comment ref="J85" authorId="2">
      <text>
        <r>
          <rPr>
            <b/>
            <sz val="8"/>
            <rFont val="Tahoma"/>
            <family val="2"/>
          </rPr>
          <t>TVH: check calculation below, has to be defined for every study</t>
        </r>
      </text>
    </comment>
    <comment ref="U87" authorId="1">
      <text>
        <r>
          <rPr>
            <b/>
            <sz val="10"/>
            <rFont val="Tahoma"/>
            <family val="2"/>
          </rPr>
          <t xml:space="preserve">ELM: </t>
        </r>
        <r>
          <rPr>
            <sz val="10"/>
            <rFont val="Tahoma"/>
            <family val="2"/>
          </rPr>
          <t xml:space="preserve">now published by Cost.
</t>
        </r>
      </text>
    </comment>
  </commentList>
</comments>
</file>

<file path=xl/sharedStrings.xml><?xml version="1.0" encoding="utf-8"?>
<sst xmlns="http://schemas.openxmlformats.org/spreadsheetml/2006/main" count="908" uniqueCount="427">
  <si>
    <t>SYSTEMS WORKSHEET:</t>
  </si>
  <si>
    <t>Analyst:</t>
  </si>
  <si>
    <t>your name here</t>
  </si>
  <si>
    <t>Start Date:</t>
  </si>
  <si>
    <t>Study Level:</t>
  </si>
  <si>
    <t>Test sheets - not a design</t>
  </si>
  <si>
    <t>Stabilization - cruise</t>
  </si>
  <si>
    <t>3-Axis</t>
  </si>
  <si>
    <t>Pointing Direction - cruise</t>
  </si>
  <si>
    <t>TBD</t>
  </si>
  <si>
    <t>Mission Duration</t>
  </si>
  <si>
    <t>years</t>
  </si>
  <si>
    <t>Stabilization - science</t>
  </si>
  <si>
    <t>Pointing Direction - science</t>
  </si>
  <si>
    <t>Max probe sun distance</t>
  </si>
  <si>
    <t>AU</t>
  </si>
  <si>
    <t>Instrument Data Rate</t>
  </si>
  <si>
    <t>Pointing Control</t>
  </si>
  <si>
    <t>arcsec</t>
  </si>
  <si>
    <t>Radiation Total Dose, krad</t>
  </si>
  <si>
    <t>Daily Data Volume</t>
  </si>
  <si>
    <t>Mbits average</t>
  </si>
  <si>
    <t>Pointing Knowledge</t>
  </si>
  <si>
    <t>Redundancy</t>
  </si>
  <si>
    <t>Data Storage</t>
  </si>
  <si>
    <t>Gb</t>
  </si>
  <si>
    <t>Pointing Stability</t>
  </si>
  <si>
    <t>arcsec/sec</t>
  </si>
  <si>
    <t>Max Link Distance to Earth</t>
  </si>
  <si>
    <t>Determined by:</t>
  </si>
  <si>
    <t>Technology Cutoff</t>
  </si>
  <si>
    <t>Return Data Rate</t>
  </si>
  <si>
    <t>kbps</t>
  </si>
  <si>
    <t>Subsys</t>
  </si>
  <si>
    <t>CBE+</t>
  </si>
  <si>
    <t>Mode 1</t>
  </si>
  <si>
    <t>Mode 2</t>
  </si>
  <si>
    <t>Mode 3</t>
  </si>
  <si>
    <t>Mode 4</t>
  </si>
  <si>
    <t>Mode 5</t>
  </si>
  <si>
    <t>Mode 6</t>
  </si>
  <si>
    <t>Mode 7</t>
  </si>
  <si>
    <t>Mode 8</t>
  </si>
  <si>
    <t>Mode 9</t>
  </si>
  <si>
    <t>Mode 10</t>
  </si>
  <si>
    <t>Mass Change</t>
  </si>
  <si>
    <t>Subsystem</t>
  </si>
  <si>
    <t>Last</t>
  </si>
  <si>
    <t>Mass</t>
  </si>
  <si>
    <t>Cont.</t>
  </si>
  <si>
    <t>Power</t>
  </si>
  <si>
    <t>TRL</t>
  </si>
  <si>
    <t>Cost</t>
  </si>
  <si>
    <t>Updated</t>
  </si>
  <si>
    <t>(kg)</t>
  </si>
  <si>
    <t>%</t>
  </si>
  <si>
    <t>(W)</t>
  </si>
  <si>
    <t>M$</t>
  </si>
  <si>
    <t>Mass Fraction</t>
  </si>
  <si>
    <t>Mass  ROM</t>
  </si>
  <si>
    <t>Drop Mass</t>
  </si>
  <si>
    <t>Shielding</t>
  </si>
  <si>
    <t>Launch</t>
  </si>
  <si>
    <t>Science</t>
  </si>
  <si>
    <t>Telecom</t>
  </si>
  <si>
    <t>Science &amp; Telecom</t>
  </si>
  <si>
    <t>Eclipse</t>
  </si>
  <si>
    <t>Safe</t>
  </si>
  <si>
    <t>% since last update</t>
  </si>
  <si>
    <t>Previous CBE</t>
  </si>
  <si>
    <t>Payload on this Element</t>
  </si>
  <si>
    <t xml:space="preserve">Instrument 1 </t>
  </si>
  <si>
    <t>Instrument 2</t>
  </si>
  <si>
    <t>Instrument 3</t>
  </si>
  <si>
    <t>Instrument 4</t>
  </si>
  <si>
    <t>Instrument 5</t>
  </si>
  <si>
    <t>Instrument 6</t>
  </si>
  <si>
    <t>Instrument 7</t>
  </si>
  <si>
    <t xml:space="preserve">     Payload Total</t>
  </si>
  <si>
    <t>Additional Elements Carried by this Element</t>
  </si>
  <si>
    <t>Other Element Allocation</t>
  </si>
  <si>
    <t xml:space="preserve">     Carried Elements Total</t>
  </si>
  <si>
    <t>Separated Mass</t>
  </si>
  <si>
    <t>RSDO Option --&gt;</t>
  </si>
  <si>
    <t>RSDO Bus Mass Line 1 - Add Description</t>
  </si>
  <si>
    <t>RSDO Power modes should be done in the traditional table below.  Power deltas are not evaluated for the RSDO option</t>
  </si>
  <si>
    <t>RSDO Bus Mass Line 2 - Add Description</t>
  </si>
  <si>
    <t>RSDO Subsystem Mass Deltas</t>
  </si>
  <si>
    <t>Mass Delta Description</t>
  </si>
  <si>
    <t>Attitude Control</t>
  </si>
  <si>
    <t>Command &amp; Data</t>
  </si>
  <si>
    <t>Propulsion</t>
  </si>
  <si>
    <t>Structures &amp; Mechanisms</t>
  </si>
  <si>
    <t>Thermal</t>
  </si>
  <si>
    <t>Total RSDO Bus Mass</t>
  </si>
  <si>
    <t>Spacecraft Total (Dry)</t>
  </si>
  <si>
    <t>Propellant Mass</t>
  </si>
  <si>
    <t>Propellant &amp; Pressurant Delta</t>
  </si>
  <si>
    <t>Spacecraft Bus</t>
  </si>
  <si>
    <t>do not edit formulas below this line, use the calcualtions and override tables instead --&gt;</t>
  </si>
  <si>
    <t xml:space="preserve">Spacecraft </t>
  </si>
  <si>
    <t>Propulsion1</t>
  </si>
  <si>
    <t>Propulsion2</t>
  </si>
  <si>
    <t>Propulsion3</t>
  </si>
  <si>
    <t xml:space="preserve">     S/C-Side Adapter</t>
  </si>
  <si>
    <t>Cabling</t>
  </si>
  <si>
    <t>Bus Total</t>
  </si>
  <si>
    <t>Thermally Controlled Mass</t>
  </si>
  <si>
    <t>Subsystem Heritage Contingency</t>
  </si>
  <si>
    <t>System Contingency</t>
  </si>
  <si>
    <t>Spacecraft with Contingency</t>
  </si>
  <si>
    <t>of total</t>
  </si>
  <si>
    <t>w/o addl pld</t>
  </si>
  <si>
    <t xml:space="preserve">     Propellant &amp; Pressurant1</t>
  </si>
  <si>
    <t>For S/C mass =</t>
  </si>
  <si>
    <t>m/s</t>
  </si>
  <si>
    <t xml:space="preserve">Including residuals = </t>
  </si>
  <si>
    <t>kg</t>
  </si>
  <si>
    <t xml:space="preserve">     Propellant &amp; Pressurant2</t>
  </si>
  <si>
    <t>Delta-V, Sys 2</t>
  </si>
  <si>
    <t>Element Cost</t>
  </si>
  <si>
    <t xml:space="preserve">     Propellant &amp; Pressurant3</t>
  </si>
  <si>
    <t>Delta-V, Sys 3</t>
  </si>
  <si>
    <t>Spacecraft Total (Wet)</t>
  </si>
  <si>
    <t>Aeroshell Mass</t>
  </si>
  <si>
    <t>Entry System Dia.</t>
  </si>
  <si>
    <t>m</t>
  </si>
  <si>
    <t>aeroshell mass</t>
  </si>
  <si>
    <t>Copy this equation into cell AS60 initiate aeroshell calculation with thermal</t>
  </si>
  <si>
    <t>Entry System Mass</t>
  </si>
  <si>
    <t>Ballistic Coefficient</t>
  </si>
  <si>
    <t>kg/m^2</t>
  </si>
  <si>
    <t xml:space="preserve">     L/V-Side Adapter</t>
  </si>
  <si>
    <t>Launch Mass</t>
  </si>
  <si>
    <t>Total</t>
  </si>
  <si>
    <t>Incr.</t>
  </si>
  <si>
    <t>Launch Vehicle Capability</t>
  </si>
  <si>
    <t>Additional Instruments Cont.</t>
  </si>
  <si>
    <t>Additional Other Pld Cont.</t>
  </si>
  <si>
    <t>Launch Vehicle Margin</t>
  </si>
  <si>
    <t>Additional Bus Cont.</t>
  </si>
  <si>
    <t>JPL Design Principles Margin</t>
  </si>
  <si>
    <t>Legend</t>
  </si>
  <si>
    <t>Total Contingency Summary</t>
  </si>
  <si>
    <t>Cost Reserves Summary</t>
  </si>
  <si>
    <t>Inputs from Subsystems</t>
  </si>
  <si>
    <t>Phases A-D</t>
  </si>
  <si>
    <t>Inputs from Systems</t>
  </si>
  <si>
    <t>%CBE</t>
  </si>
  <si>
    <t>%alloc</t>
  </si>
  <si>
    <t>Phase E</t>
  </si>
  <si>
    <t>Inputs from other systems</t>
  </si>
  <si>
    <t>Instruments</t>
  </si>
  <si>
    <t>Total Project</t>
  </si>
  <si>
    <t>Calculated</t>
  </si>
  <si>
    <t>Other Payload</t>
  </si>
  <si>
    <t>Other Elements</t>
  </si>
  <si>
    <t>RSDO Deltas</t>
  </si>
  <si>
    <t>System-level Approach:</t>
  </si>
  <si>
    <t>Apply Total System-Level</t>
  </si>
  <si>
    <t>Total Bus, dry</t>
  </si>
  <si>
    <t>Incremental Spacecraft Bus</t>
  </si>
  <si>
    <t>System-only contingency (on top of Subsystem Cont.)</t>
  </si>
  <si>
    <t>Jettisoned Mass Summary</t>
  </si>
  <si>
    <t>JPL Mass Margin Summary</t>
  </si>
  <si>
    <t>NASA Mass Margin Summary</t>
  </si>
  <si>
    <t>Describe jettison 1</t>
  </si>
  <si>
    <t>Describe jettison 2</t>
  </si>
  <si>
    <t>Spacecraft Wet Allocation</t>
  </si>
  <si>
    <t>explain more</t>
  </si>
  <si>
    <t>Describe jettison 3</t>
  </si>
  <si>
    <t>Spacecraft Dry Allocation</t>
  </si>
  <si>
    <t>Describe jettison 4</t>
  </si>
  <si>
    <t>Spacecraft Dry CBE</t>
  </si>
  <si>
    <t>Max Expected Resource Value</t>
  </si>
  <si>
    <t>Describe jettison 5</t>
  </si>
  <si>
    <t>JPL DP Mass Margin</t>
  </si>
  <si>
    <t>%of alloc</t>
  </si>
  <si>
    <t>NASA Mass Margin</t>
  </si>
  <si>
    <t>% of MERV</t>
  </si>
  <si>
    <t>Describe jettison 6</t>
  </si>
  <si>
    <t>ENTRY SYSTEM MASS BUDGET</t>
  </si>
  <si>
    <t>Dry CBE</t>
  </si>
  <si>
    <t>Dry Tot</t>
  </si>
  <si>
    <t>Fuel</t>
  </si>
  <si>
    <t>LEFT</t>
  </si>
  <si>
    <t>Jettison Elements</t>
  </si>
  <si>
    <t>Initial Spacecraft Wet Mass</t>
  </si>
  <si>
    <t>Heatshield+TPS</t>
  </si>
  <si>
    <t>Jettisoned before Entry</t>
  </si>
  <si>
    <t>Backshell+TPS</t>
  </si>
  <si>
    <t>Jettison #1</t>
  </si>
  <si>
    <t>Supersonic Chute</t>
  </si>
  <si>
    <t>Jettison #2</t>
  </si>
  <si>
    <t>Sup. Chute Support</t>
  </si>
  <si>
    <t>Jettison #3</t>
  </si>
  <si>
    <t>Subsonic Chute</t>
  </si>
  <si>
    <t>Jettison #4</t>
  </si>
  <si>
    <t>Sub. Chute Support</t>
  </si>
  <si>
    <t>Jettison #5</t>
  </si>
  <si>
    <t>EDL Ballast</t>
  </si>
  <si>
    <t>Jettison #6</t>
  </si>
  <si>
    <t>Other1</t>
  </si>
  <si>
    <t>Jettison #7</t>
  </si>
  <si>
    <t>Other2</t>
  </si>
  <si>
    <t>Jettison #8</t>
  </si>
  <si>
    <t>Other3</t>
  </si>
  <si>
    <t>Jettison #9</t>
  </si>
  <si>
    <t>Other4</t>
  </si>
  <si>
    <t>Jettison #10</t>
  </si>
  <si>
    <t>Other5</t>
  </si>
  <si>
    <t>SYSTEMS ENGINEER TOOLS -- NOT FOR PUBLISHING</t>
  </si>
  <si>
    <t>Chosen "Mass Change" color code:</t>
  </si>
  <si>
    <t>Red for greater than:</t>
  </si>
  <si>
    <t>Propellant Required</t>
  </si>
  <si>
    <t>Yellow for greater than:</t>
  </si>
  <si>
    <t>Green for greater than:</t>
  </si>
  <si>
    <t>Based on:</t>
  </si>
  <si>
    <t>CBE Dry</t>
  </si>
  <si>
    <t>Wet</t>
  </si>
  <si>
    <t>L/V Cap.</t>
  </si>
  <si>
    <t>Study Level</t>
  </si>
  <si>
    <t>Dry Mass</t>
  </si>
  <si>
    <t>Linked to Systems</t>
  </si>
  <si>
    <t>Iterated point design with good MEL</t>
  </si>
  <si>
    <t>Total Mass</t>
  </si>
  <si>
    <t>Linked to Mission Design</t>
  </si>
  <si>
    <t>1st point design with placeholders in MEL</t>
  </si>
  <si>
    <t>Delta-V, 1</t>
  </si>
  <si>
    <t>Linked to Propulsion</t>
  </si>
  <si>
    <t>Tradespace exploration - quick point designs</t>
  </si>
  <si>
    <t>Isp, 1</t>
  </si>
  <si>
    <t>Technology study - incl. tech. assumptions</t>
  </si>
  <si>
    <t>Propellant, 1</t>
  </si>
  <si>
    <t>Calculation</t>
  </si>
  <si>
    <t>Red Team Review -not Team X design</t>
  </si>
  <si>
    <t>Work in progress</t>
  </si>
  <si>
    <t>Propellant, 2</t>
  </si>
  <si>
    <t>Costing exercise: Mass &amp; power are secondary objectives</t>
  </si>
  <si>
    <t>Propellant, 3</t>
  </si>
  <si>
    <r>
      <t xml:space="preserve">Power Mode Duration </t>
    </r>
    <r>
      <rPr>
        <b/>
        <i/>
        <u val="single"/>
        <sz val="12"/>
        <rFont val="Helv"/>
        <family val="0"/>
      </rPr>
      <t>(hours)</t>
    </r>
  </si>
  <si>
    <r>
      <t xml:space="preserve">Minimum total contingency (over-rides Subsystem Cont.) </t>
    </r>
    <r>
      <rPr>
        <b/>
        <i/>
        <u val="single"/>
        <sz val="12"/>
        <rFont val="Helv"/>
        <family val="0"/>
      </rPr>
      <t>OR</t>
    </r>
  </si>
  <si>
    <t>Data rate</t>
  </si>
  <si>
    <t>Technology Development</t>
  </si>
  <si>
    <t>(kbps)</t>
  </si>
  <si>
    <t>($ FY09)</t>
  </si>
  <si>
    <t>Lyot Coronagraph</t>
  </si>
  <si>
    <t>PIAA Coronagraph</t>
  </si>
  <si>
    <t>Optics</t>
  </si>
  <si>
    <t>Photometer</t>
  </si>
  <si>
    <t>Interferometer</t>
  </si>
  <si>
    <t>50k x 50k FPA Wide Field Survey Camera</t>
  </si>
  <si>
    <t>FPA's</t>
  </si>
  <si>
    <t>2k x 2k camera</t>
  </si>
  <si>
    <t>Vis Spectrometer</t>
  </si>
  <si>
    <t>IR Spectrometer</t>
  </si>
  <si>
    <t>UV Spectrometer</t>
  </si>
  <si>
    <t>Telescopes</t>
  </si>
  <si>
    <t>0.5m Telescope</t>
  </si>
  <si>
    <t>n/a</t>
  </si>
  <si>
    <t>1.0m Telescope</t>
  </si>
  <si>
    <t>1.5m Telescope</t>
  </si>
  <si>
    <t>2.0m Telescope</t>
  </si>
  <si>
    <t>4.0m Telescope</t>
  </si>
  <si>
    <t>Large optics, I &amp; T</t>
  </si>
  <si>
    <t>Telescope Adjustments:</t>
  </si>
  <si>
    <t xml:space="preserve">   1. Add 50% to cost for off axis</t>
  </si>
  <si>
    <t xml:space="preserve">   2. Add 30% to cost for UV</t>
  </si>
  <si>
    <t xml:space="preserve">   3. Subtract 30% from cost for IR only</t>
  </si>
  <si>
    <t>Other Adjustments:</t>
  </si>
  <si>
    <t xml:space="preserve">   1. Cryocooler or dewar add $50M</t>
  </si>
  <si>
    <t>Spacecraft A</t>
  </si>
  <si>
    <t>Spacecraft B</t>
  </si>
  <si>
    <t>Spacecraft C</t>
  </si>
  <si>
    <t>Spacecraft D</t>
  </si>
  <si>
    <t xml:space="preserve">Orbital </t>
  </si>
  <si>
    <t xml:space="preserve">Astrium </t>
  </si>
  <si>
    <t xml:space="preserve"> Ball Aerospace </t>
  </si>
  <si>
    <t xml:space="preserve">Spectrum Astro </t>
  </si>
  <si>
    <t>Payload Power (OAV) (EOL)</t>
  </si>
  <si>
    <t xml:space="preserve"> W (EOL)</t>
  </si>
  <si>
    <t>125 W with solar array normal to sun except for 15 min/day</t>
  </si>
  <si>
    <t>343 Max, mission specific</t>
  </si>
  <si>
    <t xml:space="preserve">Payload Mass Limit of Bus </t>
  </si>
  <si>
    <t xml:space="preserve">40 ref, 100 Max </t>
  </si>
  <si>
    <t xml:space="preserve">Bus Dry mass (w/o Payload) </t>
  </si>
  <si>
    <t xml:space="preserve">Science Data Downlink capacity </t>
  </si>
  <si>
    <t>2 to 100</t>
  </si>
  <si>
    <t xml:space="preserve">17000 (two channels) </t>
  </si>
  <si>
    <t xml:space="preserve">Science Data Storage capability </t>
  </si>
  <si>
    <t>Mbit</t>
  </si>
  <si>
    <t>2063 (Roll), 103 else</t>
  </si>
  <si>
    <t>12 (3σ); 16 for yaw</t>
  </si>
  <si>
    <t>108 x 3</t>
  </si>
  <si>
    <t>13 (3σ); 17 for yaw</t>
  </si>
  <si>
    <t>150 x 3</t>
  </si>
  <si>
    <t>Pointing Stability (Jitter)</t>
  </si>
  <si>
    <t>N/A</t>
  </si>
  <si>
    <t>&lt; 4.2 (3σ)</t>
  </si>
  <si>
    <t>360 (18)</t>
  </si>
  <si>
    <t>Slewrate</t>
  </si>
  <si>
    <t>deg/min</t>
  </si>
  <si>
    <t>(mission dependent)</t>
  </si>
  <si>
    <t>~ 60</t>
  </si>
  <si>
    <t>Mission Design Life</t>
  </si>
  <si>
    <t>yrs</t>
  </si>
  <si>
    <t>3 @ .72</t>
  </si>
  <si>
    <t>1 @ .76</t>
  </si>
  <si>
    <t xml:space="preserve">Compatible LVs </t>
  </si>
  <si>
    <t>(names)</t>
  </si>
  <si>
    <t>L/V A only</t>
  </si>
  <si>
    <t>All L/V's</t>
  </si>
  <si>
    <t>Pegasus,Taurus</t>
  </si>
  <si>
    <t>Shuttle, Delta, Pegasus,Taurus, Ariane</t>
  </si>
  <si>
    <t xml:space="preserve">Rockot, Cosmos, Dnepr </t>
  </si>
  <si>
    <t>Pegasus XL, Taurus, Multiple Manifest</t>
  </si>
  <si>
    <t xml:space="preserve">Delta II  </t>
  </si>
  <si>
    <t>Delta II, Ariane</t>
  </si>
  <si>
    <t>Minotaur, Pegasus, Taurus, Athena, Delta, Titan-II, Atlas</t>
  </si>
  <si>
    <t>GPS</t>
  </si>
  <si>
    <t># recievers</t>
  </si>
  <si>
    <t>1 redundant</t>
  </si>
  <si>
    <t>Option #3</t>
  </si>
  <si>
    <t>Downlink</t>
  </si>
  <si>
    <t>Band</t>
  </si>
  <si>
    <t>S-band</t>
  </si>
  <si>
    <t>S-Band</t>
  </si>
  <si>
    <t>S-band and X-band</t>
  </si>
  <si>
    <t>S Band</t>
  </si>
  <si>
    <t xml:space="preserve">Propulsion type </t>
  </si>
  <si>
    <t>none</t>
  </si>
  <si>
    <t>Blowdown hydrazine</t>
  </si>
  <si>
    <t xml:space="preserve">cold gas </t>
  </si>
  <si>
    <t>Propellant Capacity</t>
  </si>
  <si>
    <t>None</t>
  </si>
  <si>
    <t>Max delta V</t>
  </si>
  <si>
    <t>$ FY09</t>
  </si>
  <si>
    <t>600km SSO</t>
  </si>
  <si>
    <t>L2</t>
  </si>
  <si>
    <t>Earth Trailing</t>
  </si>
  <si>
    <t>Cost
($FY10)</t>
  </si>
  <si>
    <t>L/V A</t>
  </si>
  <si>
    <t>800 kg</t>
  </si>
  <si>
    <t>$ 57 M</t>
  </si>
  <si>
    <t>L/V B</t>
  </si>
  <si>
    <t>6800 kg</t>
  </si>
  <si>
    <t>3495 kg</t>
  </si>
  <si>
    <t>3485 kg</t>
  </si>
  <si>
    <t>$136 M</t>
  </si>
  <si>
    <t>L/V C</t>
  </si>
  <si>
    <t>20,790 kg</t>
  </si>
  <si>
    <t>9410 kg</t>
  </si>
  <si>
    <t>9395 kg</t>
  </si>
  <si>
    <t>$220 M</t>
  </si>
  <si>
    <t>Total Cost Limit
($ FY10)</t>
  </si>
  <si>
    <t>Probability of 
Selection*</t>
  </si>
  <si>
    <t>Discovery Class</t>
  </si>
  <si>
    <t>$ 800 M</t>
  </si>
  <si>
    <t>Flagship Class</t>
  </si>
  <si>
    <t>$ 1200 M</t>
  </si>
  <si>
    <t>Major Observatory</t>
  </si>
  <si>
    <t>$ 5000 M</t>
  </si>
  <si>
    <t>*Likelihood of selection is reduced for known risks</t>
  </si>
  <si>
    <t>COST SUMMARY (FY2009 $M)</t>
  </si>
  <si>
    <t>WBS Elements</t>
  </si>
  <si>
    <t>Project Cost ($ FY09)</t>
  </si>
  <si>
    <t>Development Cost (Phases A - D)</t>
  </si>
  <si>
    <t>01.0 Project Management</t>
  </si>
  <si>
    <t>5% of development</t>
  </si>
  <si>
    <t>02.0 Project Systems Engineering</t>
  </si>
  <si>
    <t>03.0 Mission Assurance</t>
  </si>
  <si>
    <t>4% of development</t>
  </si>
  <si>
    <t>04.0 Science</t>
  </si>
  <si>
    <t>05.0 Payload System</t>
  </si>
  <si>
    <t>Instrument 1</t>
  </si>
  <si>
    <t>Element 02</t>
  </si>
  <si>
    <t>Instrument 01</t>
  </si>
  <si>
    <t>Instrument 02</t>
  </si>
  <si>
    <t>Instrument 03</t>
  </si>
  <si>
    <t>Instrument 04</t>
  </si>
  <si>
    <t>Instrument 05</t>
  </si>
  <si>
    <t>Instrument 06</t>
  </si>
  <si>
    <t>Instrument 07</t>
  </si>
  <si>
    <t>Instrument 08</t>
  </si>
  <si>
    <t>Instrument 09</t>
  </si>
  <si>
    <t>Instrument 10</t>
  </si>
  <si>
    <t>Instrument 11</t>
  </si>
  <si>
    <t>Instrument 12</t>
  </si>
  <si>
    <t>Instrument 13</t>
  </si>
  <si>
    <t>Instrument 14</t>
  </si>
  <si>
    <t>Instrument 15</t>
  </si>
  <si>
    <t>Instrument 16</t>
  </si>
  <si>
    <t>Instrument 17</t>
  </si>
  <si>
    <t>Instrument 18</t>
  </si>
  <si>
    <t>Instrument 19</t>
  </si>
  <si>
    <t>Instrument 20</t>
  </si>
  <si>
    <t>Instrument 21</t>
  </si>
  <si>
    <t>Instrument 22</t>
  </si>
  <si>
    <t>Instrument 23</t>
  </si>
  <si>
    <t>Instrument 24</t>
  </si>
  <si>
    <t>Instrument 25</t>
  </si>
  <si>
    <t>Element 03</t>
  </si>
  <si>
    <t>Element 04</t>
  </si>
  <si>
    <t>Element 05</t>
  </si>
  <si>
    <t>Element 06</t>
  </si>
  <si>
    <t>Element 07</t>
  </si>
  <si>
    <t>Element 08</t>
  </si>
  <si>
    <t>Element 09</t>
  </si>
  <si>
    <t>Element 10</t>
  </si>
  <si>
    <t>06.0 Flight System</t>
  </si>
  <si>
    <t>07.0 Mission Operations Preparation</t>
  </si>
  <si>
    <t>09.0 Ground Data Systems</t>
  </si>
  <si>
    <t>10.0 ATLO</t>
  </si>
  <si>
    <t>10.0 System Integration, Assembly &amp; Test</t>
  </si>
  <si>
    <t>11.0 Education and Public Outreach</t>
  </si>
  <si>
    <t>12.0 Mission and Navigation Design</t>
  </si>
  <si>
    <t>Development Reserves</t>
  </si>
  <si>
    <t>Operations Cost (Phases E - F)</t>
  </si>
  <si>
    <t>Operations</t>
  </si>
  <si>
    <t>$15M/yr</t>
  </si>
  <si>
    <t>Operations Reserves</t>
  </si>
  <si>
    <t>8.0 Launch Vehicle</t>
  </si>
  <si>
    <t>0.5% of development</t>
  </si>
  <si>
    <t>$7M</t>
  </si>
  <si>
    <t>$15M</t>
  </si>
  <si>
    <t>7% of Payload and Flight System</t>
  </si>
  <si>
    <t>30% required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</si>
</sst>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%"/>
    <numFmt numFmtId="167" formatCode="_(&quot;$&quot;* #,##0.0_);_(&quot;$&quot;* \(#,##0.0\);_(&quot;$&quot;* &quot;-&quot;??_);_(@_)"/>
    <numFmt numFmtId="168" formatCode="&quot;$&quot;#,##0.0"/>
    <numFmt numFmtId="169" formatCode="[$-409]d\-mmm\-yy;@"/>
    <numFmt numFmtId="170" formatCode="0\ &quot;months&quot;"/>
    <numFmt numFmtId="171" formatCode="0.0E+00"/>
    <numFmt numFmtId="172" formatCode="m/d/yy;@"/>
    <numFmt numFmtId="173" formatCode="0.00000000000000000000"/>
    <numFmt numFmtId="174" formatCode="&quot;$&quot;0\ &quot;M&quot;"/>
    <numFmt numFmtId="175" formatCode="&quot;$&quot;#,##0.0\ &quot;K&quot;"/>
    <numFmt numFmtId="176" formatCode="0.0\ &quot;WY&quot;"/>
    <numFmt numFmtId="177" formatCode="&quot;$&quot;0.0\ &quot;K&quot;"/>
    <numFmt numFmtId="178" formatCode="0.0\ &quot;months&quot;"/>
    <numFmt numFmtId="179" formatCode="[$-409]mmmm\ d\,\ yyyy;@"/>
    <numFmt numFmtId="180" formatCode="&quot;Fiscal Year &quot;0"/>
    <numFmt numFmtId="181" formatCode="&quot;$&quot;#,##0"/>
    <numFmt numFmtId="182" formatCode="0.0\ &quot;month(s)&quot;"/>
    <numFmt numFmtId="183" formatCode="#,##0.0"/>
    <numFmt numFmtId="184" formatCode="0.0\ &quot;FTE&quot;"/>
    <numFmt numFmtId="185" formatCode="0.0&quot; months&quot;"/>
    <numFmt numFmtId="186" formatCode="#,##0.00\ &quot;$K/month&quot;"/>
    <numFmt numFmtId="187" formatCode="0.0&quot; $K/month&quot;"/>
    <numFmt numFmtId="188" formatCode="0.00&quot; $K/month&quot;"/>
    <numFmt numFmtId="189" formatCode="&quot;$K &quot;\ 0.00"/>
    <numFmt numFmtId="190" formatCode="0\ &quot;Month(s)&quot;"/>
    <numFmt numFmtId="191" formatCode="#,##0.00\ &quot;$K Avg/month&quot;"/>
    <numFmt numFmtId="192" formatCode="0.00\ &quot; FTE Avg&quot;"/>
    <numFmt numFmtId="193" formatCode="0.00&quot; $K/Person/Month&quot;"/>
    <numFmt numFmtId="194" formatCode="m/d/yy"/>
    <numFmt numFmtId="195" formatCode="[$-409]mmm\-yy;@"/>
    <numFmt numFmtId="196" formatCode="0.0\ &quot;WM&quot;"/>
    <numFmt numFmtId="197" formatCode="0\ &quot;instruments&quot;"/>
    <numFmt numFmtId="198" formatCode="0\ &quot;testbed(s)&quot;"/>
    <numFmt numFmtId="199" formatCode="0\ &quot;unit&quot;"/>
    <numFmt numFmtId="200" formatCode="0.0\ "/>
    <numFmt numFmtId="201" formatCode="0.00000"/>
    <numFmt numFmtId="202" formatCode="0.0000"/>
    <numFmt numFmtId="203" formatCode="0.00000000"/>
    <numFmt numFmtId="204" formatCode="0.0000000"/>
    <numFmt numFmtId="205" formatCode="0.000000"/>
    <numFmt numFmtId="206" formatCode="&quot;$&quot;0.00\ &quot;K&quot;"/>
    <numFmt numFmtId="207" formatCode="0.0\ &quot;Month(s)&quot;"/>
    <numFmt numFmtId="208" formatCode="mmyy"/>
    <numFmt numFmtId="209" formatCode="0\ &quot;mo.&quot;"/>
    <numFmt numFmtId="210" formatCode="&quot;$&quot;0.00\K"/>
    <numFmt numFmtId="211" formatCode="&quot;$&quot;0.00\ \K"/>
    <numFmt numFmtId="212" formatCode="&quot;$&quot;0.0\ \K"/>
    <numFmt numFmtId="213" formatCode="&quot;$&quot;0.00\ &quot;K/FTE/mo.&quot;"/>
    <numFmt numFmtId="214" formatCode="&quot;$&quot;0.00\ &quot;K/mo.&quot;"/>
    <numFmt numFmtId="215" formatCode="&quot;$&quot;\ 0&quot; M&quot;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&quot;$&quot;0.0\ &quot;M&quot;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imes New Roman"/>
      <family val="1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Helv"/>
      <family val="0"/>
    </font>
    <font>
      <u val="single"/>
      <sz val="8"/>
      <name val="Helv"/>
      <family val="0"/>
    </font>
    <font>
      <b/>
      <sz val="11"/>
      <color indexed="63"/>
      <name val="Calibri"/>
      <family val="2"/>
    </font>
    <font>
      <sz val="10"/>
      <name val="Geneva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Helv"/>
      <family val="0"/>
    </font>
    <font>
      <sz val="14"/>
      <color indexed="55"/>
      <name val="Helv"/>
      <family val="0"/>
    </font>
    <font>
      <b/>
      <i/>
      <u val="single"/>
      <sz val="14"/>
      <name val="Helv"/>
      <family val="0"/>
    </font>
    <font>
      <sz val="14"/>
      <name val="Helv"/>
      <family val="0"/>
    </font>
    <font>
      <b/>
      <i/>
      <sz val="14"/>
      <name val="Helv"/>
      <family val="0"/>
    </font>
    <font>
      <sz val="14"/>
      <color indexed="9"/>
      <name val="Helv"/>
      <family val="0"/>
    </font>
    <font>
      <b/>
      <i/>
      <sz val="12"/>
      <name val="Helv"/>
      <family val="0"/>
    </font>
    <font>
      <b/>
      <sz val="12"/>
      <name val="Helv"/>
      <family val="0"/>
    </font>
    <font>
      <sz val="12"/>
      <color indexed="8"/>
      <name val="Helv"/>
      <family val="0"/>
    </font>
    <font>
      <sz val="12"/>
      <color indexed="10"/>
      <name val="Helv"/>
      <family val="0"/>
    </font>
    <font>
      <b/>
      <u val="single"/>
      <sz val="12"/>
      <name val="Helv"/>
      <family val="0"/>
    </font>
    <font>
      <sz val="12"/>
      <name val="Arial"/>
      <family val="2"/>
    </font>
    <font>
      <i/>
      <sz val="12"/>
      <name val="Helv"/>
      <family val="0"/>
    </font>
    <font>
      <b/>
      <i/>
      <u val="single"/>
      <sz val="12"/>
      <name val="Helv"/>
      <family val="0"/>
    </font>
    <font>
      <sz val="12"/>
      <color indexed="9"/>
      <name val="Helv"/>
      <family val="0"/>
    </font>
    <font>
      <sz val="12"/>
      <color indexed="23"/>
      <name val="Helv"/>
      <family val="0"/>
    </font>
    <font>
      <u val="single"/>
      <sz val="12"/>
      <name val="Helv"/>
      <family val="0"/>
    </font>
    <font>
      <b/>
      <sz val="12"/>
      <color indexed="9"/>
      <name val="Helv"/>
      <family val="0"/>
    </font>
    <font>
      <sz val="12"/>
      <color indexed="22"/>
      <name val="Helv"/>
      <family val="0"/>
    </font>
    <font>
      <u val="single"/>
      <sz val="12"/>
      <color indexed="10"/>
      <name val="Helv"/>
      <family val="0"/>
    </font>
    <font>
      <i/>
      <sz val="12"/>
      <color indexed="8"/>
      <name val="Helv"/>
      <family val="0"/>
    </font>
    <font>
      <b/>
      <sz val="12"/>
      <color indexed="8"/>
      <name val="Helv"/>
      <family val="0"/>
    </font>
    <font>
      <b/>
      <u val="single"/>
      <sz val="12"/>
      <color indexed="10"/>
      <name val="Helv"/>
      <family val="0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8"/>
      <name val="Arial"/>
      <family val="0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lightTrellis">
        <fgColor indexed="9"/>
        <bgColor indexed="22"/>
      </patternFill>
    </fill>
    <fill>
      <patternFill patternType="solid">
        <fgColor indexed="11"/>
        <bgColor indexed="64"/>
      </patternFill>
    </fill>
    <fill>
      <patternFill patternType="lightUp"/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</fills>
  <borders count="1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>
        <color indexed="9"/>
      </bottom>
    </border>
    <border>
      <left style="medium"/>
      <right style="thin"/>
      <top style="thin"/>
      <bottom style="thin">
        <color indexed="9"/>
      </bottom>
    </border>
    <border>
      <left style="thin"/>
      <right style="medium"/>
      <top style="thin"/>
      <bottom style="thin">
        <color indexed="9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thin">
        <color indexed="9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2" borderId="1" applyNumberFormat="0" applyAlignment="0" applyProtection="0"/>
    <xf numFmtId="0" fontId="5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6" fillId="0" borderId="0" applyFill="0" applyBorder="0" applyProtection="0">
      <alignment horizontal="right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10" fillId="0" borderId="3" applyNumberFormat="0" applyAlignment="0" applyProtection="0"/>
    <xf numFmtId="0" fontId="10" fillId="0" borderId="4">
      <alignment horizontal="left" vertical="center"/>
      <protection/>
    </xf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6" borderId="1" applyNumberFormat="0" applyAlignment="0" applyProtection="0"/>
    <xf numFmtId="0" fontId="16" fillId="0" borderId="8" applyNumberFormat="0" applyFill="0" applyAlignment="0" applyProtection="0"/>
    <xf numFmtId="0" fontId="17" fillId="8" borderId="0" applyNumberFormat="0" applyBorder="0" applyAlignment="0" applyProtection="0"/>
    <xf numFmtId="0" fontId="18" fillId="0" borderId="0">
      <alignment/>
      <protection/>
    </xf>
    <xf numFmtId="165" fontId="19" fillId="0" borderId="0" applyNumberFormat="0" applyAlignment="0" applyProtection="0"/>
    <xf numFmtId="0" fontId="0" fillId="4" borderId="9" applyNumberFormat="0" applyFont="0" applyAlignment="0" applyProtection="0"/>
    <xf numFmtId="0" fontId="20" fillId="2" borderId="10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0" borderId="0" applyNumberFormat="0" applyFill="0" applyBorder="0" applyAlignment="0" applyProtection="0"/>
  </cellStyleXfs>
  <cellXfs count="746">
    <xf numFmtId="0" fontId="0" fillId="0" borderId="0" xfId="0" applyAlignment="1">
      <alignment/>
    </xf>
    <xf numFmtId="0" fontId="25" fillId="0" borderId="0" xfId="60" applyFont="1" applyProtection="1">
      <alignment/>
      <protection locked="0"/>
    </xf>
    <xf numFmtId="0" fontId="26" fillId="0" borderId="0" xfId="60" applyFont="1" applyFill="1" applyBorder="1">
      <alignment/>
      <protection/>
    </xf>
    <xf numFmtId="0" fontId="27" fillId="7" borderId="12" xfId="60" applyFont="1" applyFill="1" applyBorder="1" applyProtection="1">
      <alignment/>
      <protection locked="0"/>
    </xf>
    <xf numFmtId="0" fontId="28" fillId="7" borderId="13" xfId="60" applyFont="1" applyFill="1" applyBorder="1" applyProtection="1">
      <alignment/>
      <protection locked="0"/>
    </xf>
    <xf numFmtId="0" fontId="28" fillId="7" borderId="13" xfId="60" applyFont="1" applyFill="1" applyBorder="1">
      <alignment/>
      <protection/>
    </xf>
    <xf numFmtId="0" fontId="29" fillId="7" borderId="13" xfId="60" applyFont="1" applyFill="1" applyBorder="1" applyAlignment="1" applyProtection="1">
      <alignment horizontal="center"/>
      <protection locked="0"/>
    </xf>
    <xf numFmtId="0" fontId="28" fillId="7" borderId="14" xfId="60" applyFont="1" applyFill="1" applyBorder="1">
      <alignment/>
      <protection/>
    </xf>
    <xf numFmtId="0" fontId="30" fillId="7" borderId="13" xfId="60" applyFont="1" applyFill="1" applyBorder="1">
      <alignment/>
      <protection/>
    </xf>
    <xf numFmtId="0" fontId="30" fillId="0" borderId="0" xfId="60" applyFont="1" applyFill="1" applyBorder="1">
      <alignment/>
      <protection/>
    </xf>
    <xf numFmtId="0" fontId="28" fillId="0" borderId="0" xfId="60" applyFont="1" applyProtection="1">
      <alignment/>
      <protection locked="0"/>
    </xf>
    <xf numFmtId="0" fontId="28" fillId="0" borderId="0" xfId="60" applyFont="1" applyFill="1" applyBorder="1">
      <alignment/>
      <protection/>
    </xf>
    <xf numFmtId="0" fontId="28" fillId="7" borderId="15" xfId="60" applyFont="1" applyFill="1" applyBorder="1" applyProtection="1">
      <alignment/>
      <protection locked="0"/>
    </xf>
    <xf numFmtId="0" fontId="28" fillId="7" borderId="16" xfId="60" applyFont="1" applyFill="1" applyBorder="1" applyProtection="1">
      <alignment/>
      <protection locked="0"/>
    </xf>
    <xf numFmtId="0" fontId="28" fillId="7" borderId="16" xfId="60" applyFont="1" applyFill="1" applyBorder="1">
      <alignment/>
      <protection/>
    </xf>
    <xf numFmtId="0" fontId="29" fillId="7" borderId="16" xfId="60" applyFont="1" applyFill="1" applyBorder="1" applyAlignment="1" applyProtection="1">
      <alignment horizontal="center"/>
      <protection locked="0"/>
    </xf>
    <xf numFmtId="0" fontId="28" fillId="7" borderId="17" xfId="60" applyFont="1" applyFill="1" applyBorder="1">
      <alignment/>
      <protection/>
    </xf>
    <xf numFmtId="0" fontId="30" fillId="7" borderId="16" xfId="60" applyFont="1" applyFill="1" applyBorder="1">
      <alignment/>
      <protection/>
    </xf>
    <xf numFmtId="0" fontId="25" fillId="0" borderId="0" xfId="60" applyFont="1" applyFill="1">
      <alignment/>
      <protection/>
    </xf>
    <xf numFmtId="0" fontId="25" fillId="0" borderId="18" xfId="60" applyFont="1" applyFill="1" applyBorder="1" applyProtection="1">
      <alignment/>
      <protection locked="0"/>
    </xf>
    <xf numFmtId="0" fontId="25" fillId="0" borderId="0" xfId="60" applyFont="1" applyFill="1" applyBorder="1" applyProtection="1">
      <alignment/>
      <protection locked="0"/>
    </xf>
    <xf numFmtId="0" fontId="25" fillId="0" borderId="0" xfId="60" applyFont="1" applyFill="1" applyBorder="1">
      <alignment/>
      <protection/>
    </xf>
    <xf numFmtId="0" fontId="31" fillId="0" borderId="0" xfId="60" applyFont="1" applyFill="1" applyBorder="1" applyAlignment="1" applyProtection="1">
      <alignment horizontal="center"/>
      <protection locked="0"/>
    </xf>
    <xf numFmtId="0" fontId="25" fillId="0" borderId="19" xfId="60" applyFont="1" applyFill="1" applyBorder="1">
      <alignment/>
      <protection/>
    </xf>
    <xf numFmtId="0" fontId="25" fillId="0" borderId="0" xfId="60" applyFont="1" applyFill="1" applyProtection="1">
      <alignment/>
      <protection locked="0"/>
    </xf>
    <xf numFmtId="0" fontId="32" fillId="0" borderId="18" xfId="60" applyFont="1" applyBorder="1" applyAlignment="1" applyProtection="1">
      <alignment horizontal="right"/>
      <protection locked="0"/>
    </xf>
    <xf numFmtId="0" fontId="25" fillId="0" borderId="0" xfId="60" applyFont="1" applyBorder="1" applyProtection="1">
      <alignment/>
      <protection locked="0"/>
    </xf>
    <xf numFmtId="0" fontId="25" fillId="0" borderId="0" xfId="60" applyFont="1" applyBorder="1">
      <alignment/>
      <protection/>
    </xf>
    <xf numFmtId="0" fontId="32" fillId="0" borderId="0" xfId="60" applyFont="1" applyBorder="1" applyAlignment="1" applyProtection="1">
      <alignment horizontal="right"/>
      <protection locked="0"/>
    </xf>
    <xf numFmtId="172" fontId="25" fillId="6" borderId="20" xfId="60" applyNumberFormat="1" applyFont="1" applyFill="1" applyBorder="1" applyAlignment="1">
      <alignment horizontal="center"/>
      <protection/>
    </xf>
    <xf numFmtId="0" fontId="25" fillId="0" borderId="19" xfId="60" applyFont="1" applyBorder="1" applyProtection="1">
      <alignment/>
      <protection locked="0"/>
    </xf>
    <xf numFmtId="0" fontId="25" fillId="0" borderId="18" xfId="60" applyFont="1" applyBorder="1">
      <alignment/>
      <protection/>
    </xf>
    <xf numFmtId="0" fontId="25" fillId="0" borderId="12" xfId="60" applyFont="1" applyBorder="1">
      <alignment/>
      <protection/>
    </xf>
    <xf numFmtId="0" fontId="25" fillId="0" borderId="13" xfId="60" applyFont="1" applyBorder="1" applyAlignment="1">
      <alignment horizontal="right"/>
      <protection/>
    </xf>
    <xf numFmtId="0" fontId="32" fillId="6" borderId="13" xfId="60" applyFont="1" applyFill="1" applyBorder="1" applyAlignment="1">
      <alignment horizontal="center"/>
      <protection/>
    </xf>
    <xf numFmtId="0" fontId="32" fillId="0" borderId="13" xfId="60" applyFont="1" applyFill="1" applyBorder="1" applyAlignment="1">
      <alignment horizontal="center"/>
      <protection/>
    </xf>
    <xf numFmtId="0" fontId="25" fillId="0" borderId="13" xfId="60" applyFont="1" applyBorder="1">
      <alignment/>
      <protection/>
    </xf>
    <xf numFmtId="0" fontId="25" fillId="0" borderId="13" xfId="60" applyFont="1" applyBorder="1" applyProtection="1">
      <alignment/>
      <protection locked="0"/>
    </xf>
    <xf numFmtId="0" fontId="33" fillId="0" borderId="13" xfId="60" applyFont="1" applyBorder="1" applyAlignment="1" applyProtection="1">
      <alignment horizontal="right"/>
      <protection locked="0"/>
    </xf>
    <xf numFmtId="164" fontId="32" fillId="18" borderId="13" xfId="60" applyNumberFormat="1" applyFont="1" applyFill="1" applyBorder="1" applyAlignment="1" applyProtection="1">
      <alignment horizontal="center"/>
      <protection locked="0"/>
    </xf>
    <xf numFmtId="0" fontId="25" fillId="0" borderId="14" xfId="60" applyFont="1" applyBorder="1" applyProtection="1">
      <alignment/>
      <protection locked="0"/>
    </xf>
    <xf numFmtId="0" fontId="25" fillId="0" borderId="0" xfId="60" applyFont="1" applyBorder="1" applyAlignment="1">
      <alignment horizontal="right"/>
      <protection/>
    </xf>
    <xf numFmtId="0" fontId="32" fillId="6" borderId="0" xfId="60" applyFont="1" applyFill="1" applyBorder="1" applyAlignment="1">
      <alignment horizontal="center"/>
      <protection/>
    </xf>
    <xf numFmtId="0" fontId="32" fillId="0" borderId="0" xfId="60" applyFont="1" applyFill="1" applyBorder="1" applyAlignment="1">
      <alignment horizontal="center"/>
      <protection/>
    </xf>
    <xf numFmtId="0" fontId="32" fillId="9" borderId="0" xfId="60" applyFont="1" applyFill="1" applyBorder="1" applyAlignment="1">
      <alignment horizontal="center"/>
      <protection/>
    </xf>
    <xf numFmtId="0" fontId="25" fillId="0" borderId="19" xfId="60" applyFont="1" applyBorder="1">
      <alignment/>
      <protection/>
    </xf>
    <xf numFmtId="0" fontId="25" fillId="0" borderId="0" xfId="60" applyFont="1" applyBorder="1" applyAlignment="1" applyProtection="1">
      <alignment horizontal="right"/>
      <protection locked="0"/>
    </xf>
    <xf numFmtId="1" fontId="32" fillId="9" borderId="0" xfId="60" applyNumberFormat="1" applyFont="1" applyFill="1" applyBorder="1" applyAlignment="1" applyProtection="1">
      <alignment horizontal="center"/>
      <protection locked="0"/>
    </xf>
    <xf numFmtId="1" fontId="32" fillId="9" borderId="0" xfId="60" applyNumberFormat="1" applyFont="1" applyFill="1" applyBorder="1" applyAlignment="1">
      <alignment horizontal="center"/>
      <protection/>
    </xf>
    <xf numFmtId="1" fontId="32" fillId="0" borderId="0" xfId="60" applyNumberFormat="1" applyFont="1" applyFill="1" applyBorder="1" applyAlignment="1">
      <alignment horizontal="center"/>
      <protection/>
    </xf>
    <xf numFmtId="1" fontId="32" fillId="18" borderId="0" xfId="60" applyNumberFormat="1" applyFont="1" applyFill="1" applyBorder="1" applyAlignment="1" applyProtection="1">
      <alignment horizontal="center"/>
      <protection locked="0"/>
    </xf>
    <xf numFmtId="0" fontId="34" fillId="0" borderId="0" xfId="60" applyFont="1" applyBorder="1" applyProtection="1">
      <alignment/>
      <protection locked="0"/>
    </xf>
    <xf numFmtId="0" fontId="34" fillId="0" borderId="0" xfId="60" applyFont="1" applyBorder="1">
      <alignment/>
      <protection/>
    </xf>
    <xf numFmtId="0" fontId="32" fillId="7" borderId="0" xfId="60" applyFont="1" applyFill="1" applyBorder="1" applyAlignment="1" applyProtection="1">
      <alignment horizontal="center"/>
      <protection locked="0"/>
    </xf>
    <xf numFmtId="164" fontId="32" fillId="9" borderId="0" xfId="60" applyNumberFormat="1" applyFont="1" applyFill="1" applyBorder="1" applyAlignment="1">
      <alignment horizontal="center"/>
      <protection/>
    </xf>
    <xf numFmtId="0" fontId="25" fillId="0" borderId="15" xfId="60" applyFont="1" applyBorder="1">
      <alignment/>
      <protection/>
    </xf>
    <xf numFmtId="0" fontId="25" fillId="0" borderId="16" xfId="60" applyFont="1" applyBorder="1" applyAlignment="1">
      <alignment horizontal="right"/>
      <protection/>
    </xf>
    <xf numFmtId="0" fontId="32" fillId="6" borderId="16" xfId="60" applyFont="1" applyFill="1" applyBorder="1" applyAlignment="1">
      <alignment horizontal="center"/>
      <protection/>
    </xf>
    <xf numFmtId="0" fontId="32" fillId="0" borderId="16" xfId="60" applyFont="1" applyFill="1" applyBorder="1" applyAlignment="1">
      <alignment horizontal="center"/>
      <protection/>
    </xf>
    <xf numFmtId="0" fontId="25" fillId="0" borderId="16" xfId="60" applyFont="1" applyBorder="1">
      <alignment/>
      <protection/>
    </xf>
    <xf numFmtId="0" fontId="25" fillId="0" borderId="16" xfId="60" applyFont="1" applyBorder="1" applyAlignment="1" applyProtection="1">
      <alignment horizontal="right"/>
      <protection locked="0"/>
    </xf>
    <xf numFmtId="0" fontId="32" fillId="7" borderId="16" xfId="60" applyFont="1" applyFill="1" applyBorder="1" applyAlignment="1" applyProtection="1">
      <alignment horizontal="center"/>
      <protection locked="0"/>
    </xf>
    <xf numFmtId="0" fontId="34" fillId="0" borderId="16" xfId="60" applyFont="1" applyBorder="1" applyProtection="1">
      <alignment/>
      <protection locked="0"/>
    </xf>
    <xf numFmtId="0" fontId="32" fillId="9" borderId="16" xfId="60" applyFont="1" applyFill="1" applyBorder="1" applyAlignment="1">
      <alignment horizontal="center"/>
      <protection/>
    </xf>
    <xf numFmtId="0" fontId="25" fillId="0" borderId="17" xfId="60" applyFont="1" applyBorder="1" applyProtection="1">
      <alignment/>
      <protection locked="0"/>
    </xf>
    <xf numFmtId="0" fontId="25" fillId="0" borderId="16" xfId="60" applyFont="1" applyBorder="1" applyProtection="1">
      <alignment/>
      <protection locked="0"/>
    </xf>
    <xf numFmtId="0" fontId="25" fillId="0" borderId="21" xfId="60" applyFont="1" applyFill="1" applyBorder="1" applyProtection="1">
      <alignment/>
      <protection locked="0"/>
    </xf>
    <xf numFmtId="0" fontId="25" fillId="0" borderId="3" xfId="60" applyFont="1" applyFill="1" applyBorder="1" applyProtection="1">
      <alignment/>
      <protection locked="0"/>
    </xf>
    <xf numFmtId="0" fontId="25" fillId="0" borderId="3" xfId="60" applyFont="1" applyFill="1" applyBorder="1" applyAlignment="1" applyProtection="1">
      <alignment horizontal="right"/>
      <protection locked="0"/>
    </xf>
    <xf numFmtId="0" fontId="32" fillId="0" borderId="3" xfId="60" applyFont="1" applyFill="1" applyBorder="1" applyAlignment="1" applyProtection="1">
      <alignment horizontal="center"/>
      <protection locked="0"/>
    </xf>
    <xf numFmtId="0" fontId="33" fillId="0" borderId="3" xfId="60" applyFont="1" applyFill="1" applyBorder="1" applyAlignment="1" applyProtection="1">
      <alignment horizontal="right"/>
      <protection locked="0"/>
    </xf>
    <xf numFmtId="0" fontId="32" fillId="0" borderId="22" xfId="60" applyFont="1" applyFill="1" applyBorder="1" applyAlignment="1">
      <alignment horizontal="center"/>
      <protection/>
    </xf>
    <xf numFmtId="0" fontId="25" fillId="0" borderId="17" xfId="60" applyFont="1" applyFill="1" applyBorder="1" applyProtection="1">
      <alignment/>
      <protection locked="0"/>
    </xf>
    <xf numFmtId="0" fontId="25" fillId="0" borderId="19" xfId="60" applyFont="1" applyFill="1" applyBorder="1" applyProtection="1">
      <alignment/>
      <protection locked="0"/>
    </xf>
    <xf numFmtId="0" fontId="25" fillId="7" borderId="12" xfId="60" applyFont="1" applyFill="1" applyBorder="1" applyProtection="1">
      <alignment/>
      <protection locked="0"/>
    </xf>
    <xf numFmtId="0" fontId="25" fillId="7" borderId="13" xfId="60" applyFont="1" applyFill="1" applyBorder="1" applyProtection="1">
      <alignment/>
      <protection locked="0"/>
    </xf>
    <xf numFmtId="0" fontId="25" fillId="7" borderId="23" xfId="60" applyFont="1" applyFill="1" applyBorder="1" applyProtection="1">
      <alignment/>
      <protection locked="0"/>
    </xf>
    <xf numFmtId="0" fontId="25" fillId="7" borderId="24" xfId="60" applyFont="1" applyFill="1" applyBorder="1" applyProtection="1">
      <alignment/>
      <protection locked="0"/>
    </xf>
    <xf numFmtId="0" fontId="32" fillId="7" borderId="25" xfId="60" applyFont="1" applyFill="1" applyBorder="1" applyAlignment="1" applyProtection="1">
      <alignment horizontal="center"/>
      <protection locked="0"/>
    </xf>
    <xf numFmtId="0" fontId="32" fillId="7" borderId="26" xfId="60" applyFont="1" applyFill="1" applyBorder="1" applyAlignment="1" applyProtection="1">
      <alignment horizontal="center"/>
      <protection locked="0"/>
    </xf>
    <xf numFmtId="0" fontId="32" fillId="7" borderId="24" xfId="60" applyFont="1" applyFill="1" applyBorder="1" applyAlignment="1" applyProtection="1">
      <alignment horizontal="center"/>
      <protection locked="0"/>
    </xf>
    <xf numFmtId="0" fontId="32" fillId="7" borderId="27" xfId="60" applyFont="1" applyFill="1" applyBorder="1" applyAlignment="1" applyProtection="1">
      <alignment horizontal="center"/>
      <protection locked="0"/>
    </xf>
    <xf numFmtId="0" fontId="32" fillId="7" borderId="13" xfId="60" applyFont="1" applyFill="1" applyBorder="1" applyAlignment="1" applyProtection="1">
      <alignment horizontal="center"/>
      <protection locked="0"/>
    </xf>
    <xf numFmtId="0" fontId="25" fillId="0" borderId="0" xfId="60" applyFont="1">
      <alignment/>
      <protection/>
    </xf>
    <xf numFmtId="0" fontId="25" fillId="7" borderId="18" xfId="60" applyFont="1" applyFill="1" applyBorder="1" applyProtection="1">
      <alignment/>
      <protection locked="0"/>
    </xf>
    <xf numFmtId="0" fontId="25" fillId="7" borderId="0" xfId="60" applyFont="1" applyFill="1" applyBorder="1" applyProtection="1">
      <alignment/>
      <protection locked="0"/>
    </xf>
    <xf numFmtId="0" fontId="25" fillId="7" borderId="28" xfId="60" applyFont="1" applyFill="1" applyBorder="1" applyProtection="1">
      <alignment/>
      <protection locked="0"/>
    </xf>
    <xf numFmtId="0" fontId="35" fillId="7" borderId="29" xfId="60" applyFont="1" applyFill="1" applyBorder="1" applyAlignment="1" applyProtection="1">
      <alignment horizontal="center"/>
      <protection locked="0"/>
    </xf>
    <xf numFmtId="0" fontId="35" fillId="7" borderId="30" xfId="60" applyFont="1" applyFill="1" applyBorder="1" applyAlignment="1" applyProtection="1">
      <alignment horizontal="center"/>
      <protection locked="0"/>
    </xf>
    <xf numFmtId="0" fontId="35" fillId="7" borderId="31" xfId="60" applyFont="1" applyFill="1" applyBorder="1" applyAlignment="1" applyProtection="1">
      <alignment horizontal="center"/>
      <protection locked="0"/>
    </xf>
    <xf numFmtId="0" fontId="35" fillId="7" borderId="32" xfId="60" applyFont="1" applyFill="1" applyBorder="1" applyAlignment="1" applyProtection="1">
      <alignment horizontal="center"/>
      <protection locked="0"/>
    </xf>
    <xf numFmtId="0" fontId="35" fillId="7" borderId="0" xfId="60" applyFont="1" applyFill="1" applyBorder="1" applyAlignment="1" applyProtection="1">
      <alignment horizontal="center"/>
      <protection locked="0"/>
    </xf>
    <xf numFmtId="0" fontId="32" fillId="0" borderId="0" xfId="60" applyFont="1" applyBorder="1" applyAlignment="1">
      <alignment horizontal="center"/>
      <protection/>
    </xf>
    <xf numFmtId="0" fontId="32" fillId="7" borderId="33" xfId="60" applyFont="1" applyFill="1" applyBorder="1" applyProtection="1">
      <alignment/>
      <protection locked="0"/>
    </xf>
    <xf numFmtId="0" fontId="25" fillId="7" borderId="34" xfId="60" applyFont="1" applyFill="1" applyBorder="1" applyProtection="1">
      <alignment/>
      <protection locked="0"/>
    </xf>
    <xf numFmtId="0" fontId="32" fillId="7" borderId="34" xfId="60" applyFont="1" applyFill="1" applyBorder="1" applyAlignment="1" applyProtection="1">
      <alignment horizontal="center" vertical="top" wrapText="1"/>
      <protection locked="0"/>
    </xf>
    <xf numFmtId="0" fontId="32" fillId="7" borderId="35" xfId="60" applyFont="1" applyFill="1" applyBorder="1" applyAlignment="1" applyProtection="1">
      <alignment horizontal="center" vertical="top" wrapText="1"/>
      <protection locked="0"/>
    </xf>
    <xf numFmtId="0" fontId="32" fillId="7" borderId="35" xfId="60" applyFont="1" applyFill="1" applyBorder="1" applyAlignment="1" applyProtection="1">
      <alignment horizontal="center" wrapText="1"/>
      <protection locked="0"/>
    </xf>
    <xf numFmtId="0" fontId="25" fillId="7" borderId="36" xfId="60" applyFont="1" applyFill="1" applyBorder="1" applyAlignment="1" applyProtection="1">
      <alignment horizontal="center"/>
      <protection locked="0"/>
    </xf>
    <xf numFmtId="0" fontId="25" fillId="7" borderId="37" xfId="60" applyFont="1" applyFill="1" applyBorder="1" applyAlignment="1" applyProtection="1">
      <alignment horizontal="center"/>
      <protection locked="0"/>
    </xf>
    <xf numFmtId="0" fontId="25" fillId="7" borderId="38" xfId="60" applyFont="1" applyFill="1" applyBorder="1" applyAlignment="1" applyProtection="1">
      <alignment horizontal="center"/>
      <protection locked="0"/>
    </xf>
    <xf numFmtId="0" fontId="32" fillId="7" borderId="36" xfId="60" applyFont="1" applyFill="1" applyBorder="1" applyAlignment="1" applyProtection="1">
      <alignment horizontal="center" vertical="top" wrapText="1"/>
      <protection locked="0"/>
    </xf>
    <xf numFmtId="0" fontId="32" fillId="7" borderId="37" xfId="60" applyFont="1" applyFill="1" applyBorder="1" applyAlignment="1" applyProtection="1">
      <alignment horizontal="center" vertical="top" wrapText="1"/>
      <protection locked="0"/>
    </xf>
    <xf numFmtId="0" fontId="32" fillId="7" borderId="38" xfId="60" applyFont="1" applyFill="1" applyBorder="1" applyAlignment="1" applyProtection="1">
      <alignment horizontal="center" vertical="top" wrapText="1"/>
      <protection locked="0"/>
    </xf>
    <xf numFmtId="0" fontId="32" fillId="7" borderId="39" xfId="60" applyFont="1" applyFill="1" applyBorder="1" applyAlignment="1" applyProtection="1">
      <alignment horizontal="center" vertical="top" wrapText="1"/>
      <protection locked="0"/>
    </xf>
    <xf numFmtId="0" fontId="32" fillId="7" borderId="39" xfId="60" applyFont="1" applyFill="1" applyBorder="1" applyAlignment="1" applyProtection="1">
      <alignment horizontal="center" wrapText="1"/>
      <protection locked="0"/>
    </xf>
    <xf numFmtId="0" fontId="32" fillId="7" borderId="37" xfId="60" applyFont="1" applyFill="1" applyBorder="1" applyAlignment="1" applyProtection="1">
      <alignment horizontal="center" wrapText="1"/>
      <protection locked="0"/>
    </xf>
    <xf numFmtId="0" fontId="31" fillId="7" borderId="37" xfId="60" applyFont="1" applyFill="1" applyBorder="1" applyAlignment="1" applyProtection="1">
      <alignment horizontal="center"/>
      <protection locked="0"/>
    </xf>
    <xf numFmtId="0" fontId="35" fillId="7" borderId="40" xfId="60" applyFont="1" applyFill="1" applyBorder="1" applyAlignment="1">
      <alignment horizontal="center" wrapText="1"/>
      <protection/>
    </xf>
    <xf numFmtId="0" fontId="37" fillId="0" borderId="0" xfId="60" applyFont="1" applyAlignment="1" applyProtection="1">
      <alignment vertical="center"/>
      <protection locked="0"/>
    </xf>
    <xf numFmtId="0" fontId="31" fillId="0" borderId="18" xfId="60" applyFont="1" applyFill="1" applyBorder="1" applyAlignment="1" applyProtection="1">
      <alignment vertical="center"/>
      <protection locked="0"/>
    </xf>
    <xf numFmtId="0" fontId="37" fillId="0" borderId="0" xfId="60" applyFont="1" applyFill="1" applyBorder="1" applyAlignment="1" applyProtection="1">
      <alignment vertical="center"/>
      <protection locked="0"/>
    </xf>
    <xf numFmtId="0" fontId="31" fillId="0" borderId="0" xfId="60" applyFont="1" applyFill="1" applyBorder="1" applyAlignment="1" applyProtection="1">
      <alignment horizontal="center" vertical="center" wrapText="1"/>
      <protection locked="0"/>
    </xf>
    <xf numFmtId="0" fontId="31" fillId="7" borderId="28" xfId="60" applyFont="1" applyFill="1" applyBorder="1" applyAlignment="1" applyProtection="1">
      <alignment horizontal="center" vertical="center" wrapText="1"/>
      <protection locked="0"/>
    </xf>
    <xf numFmtId="0" fontId="37" fillId="0" borderId="29" xfId="60" applyFont="1" applyFill="1" applyBorder="1" applyAlignment="1" applyProtection="1">
      <alignment horizontal="center" vertical="center"/>
      <protection locked="0"/>
    </xf>
    <xf numFmtId="0" fontId="37" fillId="0" borderId="30" xfId="60" applyFont="1" applyFill="1" applyBorder="1" applyAlignment="1" applyProtection="1">
      <alignment horizontal="center" vertical="center"/>
      <protection locked="0"/>
    </xf>
    <xf numFmtId="0" fontId="37" fillId="0" borderId="31" xfId="60" applyFont="1" applyFill="1" applyBorder="1" applyAlignment="1" applyProtection="1">
      <alignment horizontal="center" vertical="center"/>
      <protection locked="0"/>
    </xf>
    <xf numFmtId="0" fontId="31" fillId="19" borderId="29" xfId="60" applyFont="1" applyFill="1" applyBorder="1" applyAlignment="1" applyProtection="1">
      <alignment horizontal="center" vertical="center" wrapText="1"/>
      <protection locked="0"/>
    </xf>
    <xf numFmtId="0" fontId="31" fillId="19" borderId="30" xfId="60" applyFont="1" applyFill="1" applyBorder="1" applyAlignment="1" applyProtection="1">
      <alignment horizontal="center" vertical="center" wrapText="1"/>
      <protection locked="0"/>
    </xf>
    <xf numFmtId="0" fontId="31" fillId="6" borderId="31" xfId="60" applyFont="1" applyFill="1" applyBorder="1" applyAlignment="1" applyProtection="1">
      <alignment horizontal="center" vertical="center" wrapText="1"/>
      <protection locked="0"/>
    </xf>
    <xf numFmtId="0" fontId="31" fillId="6" borderId="32" xfId="60" applyFont="1" applyFill="1" applyBorder="1" applyAlignment="1" applyProtection="1">
      <alignment horizontal="center" vertical="center" wrapText="1"/>
      <protection locked="0"/>
    </xf>
    <xf numFmtId="0" fontId="31" fillId="6" borderId="30" xfId="60" applyFont="1" applyFill="1" applyBorder="1" applyAlignment="1" applyProtection="1">
      <alignment horizontal="center" vertical="center" wrapText="1"/>
      <protection locked="0"/>
    </xf>
    <xf numFmtId="0" fontId="31" fillId="0" borderId="41" xfId="60" applyFont="1" applyFill="1" applyBorder="1" applyAlignment="1" applyProtection="1">
      <alignment horizontal="center" vertical="center" wrapText="1"/>
      <protection locked="0"/>
    </xf>
    <xf numFmtId="0" fontId="31" fillId="0" borderId="30" xfId="60" applyFont="1" applyFill="1" applyBorder="1" applyAlignment="1" applyProtection="1">
      <alignment horizontal="center" vertical="center"/>
      <protection locked="0"/>
    </xf>
    <xf numFmtId="0" fontId="38" fillId="0" borderId="0" xfId="60" applyFont="1" applyBorder="1" applyAlignment="1">
      <alignment horizontal="center" vertical="center" wrapText="1"/>
      <protection/>
    </xf>
    <xf numFmtId="0" fontId="37" fillId="0" borderId="0" xfId="60" applyFont="1" applyAlignment="1">
      <alignment vertical="center"/>
      <protection/>
    </xf>
    <xf numFmtId="0" fontId="31" fillId="2" borderId="29" xfId="60" applyFont="1" applyFill="1" applyBorder="1" applyAlignment="1" applyProtection="1">
      <alignment horizontal="center" vertical="center" wrapText="1"/>
      <protection locked="0"/>
    </xf>
    <xf numFmtId="0" fontId="31" fillId="2" borderId="30" xfId="60" applyFont="1" applyFill="1" applyBorder="1" applyAlignment="1" applyProtection="1">
      <alignment horizontal="center" vertical="center" wrapText="1"/>
      <protection locked="0"/>
    </xf>
    <xf numFmtId="0" fontId="31" fillId="2" borderId="31" xfId="60" applyFont="1" applyFill="1" applyBorder="1" applyAlignment="1" applyProtection="1">
      <alignment horizontal="center" vertical="center" wrapText="1"/>
      <protection locked="0"/>
    </xf>
    <xf numFmtId="0" fontId="25" fillId="0" borderId="21" xfId="60" applyFont="1" applyBorder="1" applyProtection="1">
      <alignment/>
      <protection locked="0"/>
    </xf>
    <xf numFmtId="0" fontId="32" fillId="7" borderId="21" xfId="60" applyFont="1" applyFill="1" applyBorder="1" applyProtection="1">
      <alignment/>
      <protection locked="0"/>
    </xf>
    <xf numFmtId="0" fontId="25" fillId="7" borderId="3" xfId="60" applyFont="1" applyFill="1" applyBorder="1" applyProtection="1">
      <alignment/>
      <protection locked="0"/>
    </xf>
    <xf numFmtId="0" fontId="25" fillId="7" borderId="3" xfId="60" applyFont="1" applyFill="1" applyBorder="1" applyAlignment="1" applyProtection="1">
      <alignment horizontal="center"/>
      <protection locked="0"/>
    </xf>
    <xf numFmtId="0" fontId="25" fillId="7" borderId="22" xfId="60" applyFont="1" applyFill="1" applyBorder="1" applyAlignment="1" applyProtection="1">
      <alignment horizontal="center"/>
      <protection locked="0"/>
    </xf>
    <xf numFmtId="22" fontId="25" fillId="0" borderId="0" xfId="60" applyNumberFormat="1" applyFont="1" applyAlignment="1" applyProtection="1">
      <alignment horizontal="center"/>
      <protection locked="0"/>
    </xf>
    <xf numFmtId="9" fontId="25" fillId="0" borderId="0" xfId="60" applyNumberFormat="1" applyFont="1" applyFill="1" applyBorder="1" applyAlignment="1" applyProtection="1">
      <alignment horizontal="center"/>
      <protection locked="0"/>
    </xf>
    <xf numFmtId="164" fontId="25" fillId="6" borderId="30" xfId="60" applyNumberFormat="1" applyFont="1" applyFill="1" applyBorder="1" applyAlignment="1" applyProtection="1">
      <alignment horizontal="center"/>
      <protection locked="0"/>
    </xf>
    <xf numFmtId="164" fontId="25" fillId="6" borderId="28" xfId="60" applyNumberFormat="1" applyFont="1" applyFill="1" applyBorder="1" applyAlignment="1" applyProtection="1">
      <alignment horizontal="center"/>
      <protection locked="0"/>
    </xf>
    <xf numFmtId="164" fontId="25" fillId="19" borderId="29" xfId="60" applyNumberFormat="1" applyFont="1" applyFill="1" applyBorder="1" applyAlignment="1" applyProtection="1">
      <alignment horizontal="center"/>
      <protection locked="0"/>
    </xf>
    <xf numFmtId="9" fontId="25" fillId="19" borderId="29" xfId="60" applyNumberFormat="1" applyFont="1" applyFill="1" applyBorder="1" applyAlignment="1" applyProtection="1">
      <alignment horizontal="center"/>
      <protection locked="0"/>
    </xf>
    <xf numFmtId="164" fontId="25" fillId="9" borderId="31" xfId="60" applyNumberFormat="1" applyFont="1" applyFill="1" applyBorder="1" applyAlignment="1" applyProtection="1">
      <alignment horizontal="center"/>
      <protection locked="0"/>
    </xf>
    <xf numFmtId="1" fontId="25" fillId="9" borderId="30" xfId="60" applyNumberFormat="1" applyFont="1" applyFill="1" applyBorder="1" applyAlignment="1" applyProtection="1">
      <alignment horizontal="center"/>
      <protection locked="0"/>
    </xf>
    <xf numFmtId="1" fontId="25" fillId="9" borderId="26" xfId="60" applyNumberFormat="1" applyFont="1" applyFill="1" applyBorder="1" applyAlignment="1" applyProtection="1">
      <alignment horizontal="center"/>
      <protection locked="0"/>
    </xf>
    <xf numFmtId="1" fontId="25" fillId="9" borderId="27" xfId="60" applyNumberFormat="1" applyFont="1" applyFill="1" applyBorder="1" applyAlignment="1" applyProtection="1">
      <alignment horizontal="center"/>
      <protection locked="0"/>
    </xf>
    <xf numFmtId="1" fontId="25" fillId="9" borderId="25" xfId="60" applyNumberFormat="1" applyFont="1" applyFill="1" applyBorder="1" applyAlignment="1" applyProtection="1">
      <alignment horizontal="center"/>
      <protection locked="0"/>
    </xf>
    <xf numFmtId="1" fontId="25" fillId="9" borderId="0" xfId="60" applyNumberFormat="1" applyFont="1" applyFill="1" applyBorder="1" applyAlignment="1" applyProtection="1">
      <alignment horizontal="center"/>
      <protection locked="0"/>
    </xf>
    <xf numFmtId="9" fontId="39" fillId="0" borderId="30" xfId="64" applyFont="1" applyFill="1" applyBorder="1" applyAlignment="1" applyProtection="1">
      <alignment horizontal="center"/>
      <protection locked="0"/>
    </xf>
    <xf numFmtId="168" fontId="25" fillId="9" borderId="30" xfId="45" applyNumberFormat="1" applyFont="1" applyFill="1" applyBorder="1" applyAlignment="1" applyProtection="1">
      <alignment horizontal="center"/>
      <protection locked="0"/>
    </xf>
    <xf numFmtId="22" fontId="25" fillId="9" borderId="31" xfId="60" applyNumberFormat="1" applyFont="1" applyFill="1" applyBorder="1" applyAlignment="1" applyProtection="1">
      <alignment horizontal="right"/>
      <protection locked="0"/>
    </xf>
    <xf numFmtId="164" fontId="25" fillId="9" borderId="30" xfId="60" applyNumberFormat="1" applyFont="1" applyFill="1" applyBorder="1" applyAlignment="1" applyProtection="1">
      <alignment horizontal="center"/>
      <protection locked="0"/>
    </xf>
    <xf numFmtId="164" fontId="25" fillId="9" borderId="29" xfId="60" applyNumberFormat="1" applyFont="1" applyFill="1" applyBorder="1" applyAlignment="1" applyProtection="1">
      <alignment horizontal="center"/>
      <protection locked="0"/>
    </xf>
    <xf numFmtId="9" fontId="25" fillId="9" borderId="30" xfId="64" applyFont="1" applyFill="1" applyBorder="1" applyAlignment="1" applyProtection="1">
      <alignment horizontal="center"/>
      <protection locked="0"/>
    </xf>
    <xf numFmtId="164" fontId="25" fillId="6" borderId="29" xfId="60" applyNumberFormat="1" applyFont="1" applyFill="1" applyBorder="1" applyAlignment="1" applyProtection="1">
      <alignment horizontal="center"/>
      <protection locked="0"/>
    </xf>
    <xf numFmtId="9" fontId="25" fillId="6" borderId="30" xfId="64" applyFont="1" applyFill="1" applyBorder="1" applyAlignment="1" applyProtection="1">
      <alignment horizontal="center"/>
      <protection locked="0"/>
    </xf>
    <xf numFmtId="164" fontId="25" fillId="7" borderId="31" xfId="60" applyNumberFormat="1" applyFont="1" applyFill="1" applyBorder="1" applyAlignment="1" applyProtection="1">
      <alignment horizontal="center"/>
      <protection locked="0"/>
    </xf>
    <xf numFmtId="164" fontId="25" fillId="6" borderId="31" xfId="60" applyNumberFormat="1" applyFont="1" applyFill="1" applyBorder="1" applyAlignment="1" applyProtection="1">
      <alignment horizontal="center"/>
      <protection locked="0"/>
    </xf>
    <xf numFmtId="0" fontId="37" fillId="0" borderId="0" xfId="60" applyFont="1" applyFill="1" applyBorder="1" applyAlignment="1" applyProtection="1">
      <alignment horizontal="right"/>
      <protection locked="0"/>
    </xf>
    <xf numFmtId="9" fontId="25" fillId="19" borderId="30" xfId="64" applyFont="1" applyFill="1" applyBorder="1" applyAlignment="1" applyProtection="1">
      <alignment horizontal="center"/>
      <protection locked="0"/>
    </xf>
    <xf numFmtId="1" fontId="25" fillId="19" borderId="29" xfId="60" applyNumberFormat="1" applyFont="1" applyFill="1" applyBorder="1" applyAlignment="1" applyProtection="1">
      <alignment horizontal="center"/>
      <protection locked="0"/>
    </xf>
    <xf numFmtId="1" fontId="25" fillId="19" borderId="30" xfId="60" applyNumberFormat="1" applyFont="1" applyFill="1" applyBorder="1" applyAlignment="1" applyProtection="1">
      <alignment horizontal="center"/>
      <protection locked="0"/>
    </xf>
    <xf numFmtId="1" fontId="25" fillId="6" borderId="31" xfId="60" applyNumberFormat="1" applyFont="1" applyFill="1" applyBorder="1" applyAlignment="1" applyProtection="1">
      <alignment horizontal="center"/>
      <protection locked="0"/>
    </xf>
    <xf numFmtId="1" fontId="25" fillId="6" borderId="32" xfId="60" applyNumberFormat="1" applyFont="1" applyFill="1" applyBorder="1" applyAlignment="1" applyProtection="1">
      <alignment horizontal="center"/>
      <protection locked="0"/>
    </xf>
    <xf numFmtId="1" fontId="25" fillId="6" borderId="30" xfId="60" applyNumberFormat="1" applyFont="1" applyFill="1" applyBorder="1" applyAlignment="1" applyProtection="1">
      <alignment horizontal="center"/>
      <protection locked="0"/>
    </xf>
    <xf numFmtId="0" fontId="37" fillId="0" borderId="0" xfId="60" applyFont="1" applyFill="1" applyBorder="1" applyAlignment="1" applyProtection="1">
      <alignment horizontal="left"/>
      <protection locked="0"/>
    </xf>
    <xf numFmtId="167" fontId="37" fillId="0" borderId="30" xfId="45" applyNumberFormat="1" applyFont="1" applyFill="1" applyBorder="1" applyAlignment="1" applyProtection="1">
      <alignment horizontal="left"/>
      <protection locked="0"/>
    </xf>
    <xf numFmtId="0" fontId="25" fillId="0" borderId="31" xfId="60" applyFont="1" applyFill="1" applyBorder="1" applyAlignment="1" applyProtection="1">
      <alignment horizontal="right"/>
      <protection locked="0"/>
    </xf>
    <xf numFmtId="164" fontId="25" fillId="2" borderId="29" xfId="60" applyNumberFormat="1" applyFont="1" applyFill="1" applyBorder="1" applyAlignment="1" applyProtection="1">
      <alignment horizontal="center"/>
      <protection locked="0"/>
    </xf>
    <xf numFmtId="9" fontId="25" fillId="2" borderId="30" xfId="64" applyFont="1" applyFill="1" applyBorder="1" applyAlignment="1" applyProtection="1">
      <alignment horizontal="center"/>
      <protection locked="0"/>
    </xf>
    <xf numFmtId="164" fontId="25" fillId="2" borderId="31" xfId="60" applyNumberFormat="1" applyFont="1" applyFill="1" applyBorder="1" applyAlignment="1" applyProtection="1">
      <alignment horizontal="center"/>
      <protection locked="0"/>
    </xf>
    <xf numFmtId="164" fontId="25" fillId="2" borderId="30" xfId="60" applyNumberFormat="1" applyFont="1" applyFill="1" applyBorder="1" applyAlignment="1" applyProtection="1">
      <alignment horizontal="center"/>
      <protection locked="0"/>
    </xf>
    <xf numFmtId="0" fontId="25" fillId="2" borderId="0" xfId="60" applyFont="1" applyFill="1">
      <alignment/>
      <protection/>
    </xf>
    <xf numFmtId="0" fontId="32" fillId="0" borderId="18" xfId="60" applyFont="1" applyFill="1" applyBorder="1" applyProtection="1">
      <alignment/>
      <protection locked="0"/>
    </xf>
    <xf numFmtId="164" fontId="25" fillId="18" borderId="30" xfId="60" applyNumberFormat="1" applyFont="1" applyFill="1" applyBorder="1" applyAlignment="1" applyProtection="1">
      <alignment horizontal="center"/>
      <protection locked="0"/>
    </xf>
    <xf numFmtId="164" fontId="25" fillId="18" borderId="28" xfId="60" applyNumberFormat="1" applyFont="1" applyFill="1" applyBorder="1" applyAlignment="1" applyProtection="1">
      <alignment horizontal="center"/>
      <protection locked="0"/>
    </xf>
    <xf numFmtId="164" fontId="32" fillId="18" borderId="29" xfId="60" applyNumberFormat="1" applyFont="1" applyFill="1" applyBorder="1" applyAlignment="1" applyProtection="1">
      <alignment horizontal="center"/>
      <protection locked="0"/>
    </xf>
    <xf numFmtId="9" fontId="25" fillId="18" borderId="42" xfId="64" applyFont="1" applyFill="1" applyBorder="1" applyAlignment="1" applyProtection="1">
      <alignment horizontal="center"/>
      <protection locked="0"/>
    </xf>
    <xf numFmtId="164" fontId="32" fillId="18" borderId="43" xfId="60" applyNumberFormat="1" applyFont="1" applyFill="1" applyBorder="1" applyAlignment="1" applyProtection="1">
      <alignment horizontal="center"/>
      <protection locked="0"/>
    </xf>
    <xf numFmtId="1" fontId="32" fillId="18" borderId="44" xfId="60" applyNumberFormat="1" applyFont="1" applyFill="1" applyBorder="1" applyAlignment="1" applyProtection="1">
      <alignment horizontal="center"/>
      <protection locked="0"/>
    </xf>
    <xf numFmtId="1" fontId="32" fillId="18" borderId="42" xfId="60" applyNumberFormat="1" applyFont="1" applyFill="1" applyBorder="1" applyAlignment="1" applyProtection="1">
      <alignment horizontal="center"/>
      <protection locked="0"/>
    </xf>
    <xf numFmtId="1" fontId="32" fillId="18" borderId="43" xfId="60" applyNumberFormat="1" applyFont="1" applyFill="1" applyBorder="1" applyAlignment="1" applyProtection="1">
      <alignment horizontal="center"/>
      <protection locked="0"/>
    </xf>
    <xf numFmtId="1" fontId="32" fillId="18" borderId="45" xfId="60" applyNumberFormat="1" applyFont="1" applyFill="1" applyBorder="1" applyAlignment="1" applyProtection="1">
      <alignment horizontal="center"/>
      <protection locked="0"/>
    </xf>
    <xf numFmtId="0" fontId="25" fillId="0" borderId="0" xfId="60" applyFont="1" applyFill="1" applyBorder="1" applyAlignment="1" applyProtection="1">
      <alignment horizontal="center"/>
      <protection locked="0"/>
    </xf>
    <xf numFmtId="167" fontId="25" fillId="0" borderId="30" xfId="45" applyNumberFormat="1" applyFont="1" applyFill="1" applyBorder="1" applyAlignment="1" applyProtection="1">
      <alignment horizontal="center"/>
      <protection locked="0"/>
    </xf>
    <xf numFmtId="164" fontId="32" fillId="2" borderId="29" xfId="60" applyNumberFormat="1" applyFont="1" applyFill="1" applyBorder="1" applyAlignment="1" applyProtection="1">
      <alignment horizontal="center"/>
      <protection locked="0"/>
    </xf>
    <xf numFmtId="9" fontId="25" fillId="2" borderId="42" xfId="64" applyFont="1" applyFill="1" applyBorder="1" applyAlignment="1" applyProtection="1">
      <alignment horizontal="center"/>
      <protection locked="0"/>
    </xf>
    <xf numFmtId="164" fontId="32" fillId="2" borderId="43" xfId="60" applyNumberFormat="1" applyFont="1" applyFill="1" applyBorder="1" applyAlignment="1" applyProtection="1">
      <alignment horizontal="center"/>
      <protection locked="0"/>
    </xf>
    <xf numFmtId="164" fontId="32" fillId="2" borderId="32" xfId="60" applyNumberFormat="1" applyFont="1" applyFill="1" applyBorder="1" applyAlignment="1" applyProtection="1">
      <alignment horizontal="center"/>
      <protection locked="0"/>
    </xf>
    <xf numFmtId="164" fontId="32" fillId="2" borderId="30" xfId="60" applyNumberFormat="1" applyFont="1" applyFill="1" applyBorder="1" applyAlignment="1" applyProtection="1">
      <alignment horizontal="center"/>
      <protection locked="0"/>
    </xf>
    <xf numFmtId="1" fontId="25" fillId="7" borderId="3" xfId="60" applyNumberFormat="1" applyFont="1" applyFill="1" applyBorder="1" applyAlignment="1" applyProtection="1">
      <alignment horizontal="center"/>
      <protection locked="0"/>
    </xf>
    <xf numFmtId="1" fontId="25" fillId="7" borderId="22" xfId="60" applyNumberFormat="1" applyFont="1" applyFill="1" applyBorder="1" applyAlignment="1" applyProtection="1">
      <alignment horizontal="center"/>
      <protection locked="0"/>
    </xf>
    <xf numFmtId="164" fontId="25" fillId="8" borderId="29" xfId="60" applyNumberFormat="1" applyFont="1" applyFill="1" applyBorder="1" applyAlignment="1" applyProtection="1">
      <alignment horizontal="center"/>
      <protection locked="0"/>
    </xf>
    <xf numFmtId="9" fontId="25" fillId="8" borderId="29" xfId="60" applyNumberFormat="1" applyFont="1" applyFill="1" applyBorder="1" applyAlignment="1" applyProtection="1">
      <alignment horizontal="center"/>
      <protection locked="0"/>
    </xf>
    <xf numFmtId="164" fontId="25" fillId="8" borderId="31" xfId="60" applyNumberFormat="1" applyFont="1" applyFill="1" applyBorder="1" applyAlignment="1" applyProtection="1">
      <alignment horizontal="center"/>
      <protection locked="0"/>
    </xf>
    <xf numFmtId="1" fontId="25" fillId="8" borderId="24" xfId="60" applyNumberFormat="1" applyFont="1" applyFill="1" applyBorder="1" applyAlignment="1" applyProtection="1">
      <alignment horizontal="center"/>
      <protection locked="0"/>
    </xf>
    <xf numFmtId="1" fontId="25" fillId="8" borderId="25" xfId="60" applyNumberFormat="1" applyFont="1" applyFill="1" applyBorder="1" applyAlignment="1" applyProtection="1">
      <alignment horizontal="center"/>
      <protection locked="0"/>
    </xf>
    <xf numFmtId="1" fontId="25" fillId="8" borderId="26" xfId="60" applyNumberFormat="1" applyFont="1" applyFill="1" applyBorder="1" applyAlignment="1" applyProtection="1">
      <alignment horizontal="center"/>
      <protection locked="0"/>
    </xf>
    <xf numFmtId="1" fontId="25" fillId="8" borderId="27" xfId="60" applyNumberFormat="1" applyFont="1" applyFill="1" applyBorder="1" applyAlignment="1" applyProtection="1">
      <alignment horizontal="center"/>
      <protection locked="0"/>
    </xf>
    <xf numFmtId="164" fontId="25" fillId="8" borderId="30" xfId="60" applyNumberFormat="1" applyFont="1" applyFill="1" applyBorder="1" applyAlignment="1" applyProtection="1">
      <alignment horizontal="center"/>
      <protection locked="0"/>
    </xf>
    <xf numFmtId="9" fontId="25" fillId="8" borderId="30" xfId="64" applyFont="1" applyFill="1" applyBorder="1" applyAlignment="1" applyProtection="1">
      <alignment horizontal="center"/>
      <protection locked="0"/>
    </xf>
    <xf numFmtId="1" fontId="25" fillId="8" borderId="29" xfId="60" applyNumberFormat="1" applyFont="1" applyFill="1" applyBorder="1" applyAlignment="1" applyProtection="1">
      <alignment horizontal="center"/>
      <protection locked="0"/>
    </xf>
    <xf numFmtId="1" fontId="25" fillId="8" borderId="30" xfId="60" applyNumberFormat="1" applyFont="1" applyFill="1" applyBorder="1" applyAlignment="1" applyProtection="1">
      <alignment horizontal="center"/>
      <protection locked="0"/>
    </xf>
    <xf numFmtId="1" fontId="25" fillId="8" borderId="31" xfId="60" applyNumberFormat="1" applyFont="1" applyFill="1" applyBorder="1" applyAlignment="1" applyProtection="1">
      <alignment horizontal="center"/>
      <protection locked="0"/>
    </xf>
    <xf numFmtId="1" fontId="25" fillId="8" borderId="32" xfId="60" applyNumberFormat="1" applyFont="1" applyFill="1" applyBorder="1" applyAlignment="1" applyProtection="1">
      <alignment horizontal="center"/>
      <protection locked="0"/>
    </xf>
    <xf numFmtId="9" fontId="25" fillId="18" borderId="30" xfId="64" applyFont="1" applyFill="1" applyBorder="1" applyAlignment="1" applyProtection="1">
      <alignment horizontal="center"/>
      <protection locked="0"/>
    </xf>
    <xf numFmtId="164" fontId="32" fillId="18" borderId="31" xfId="60" applyNumberFormat="1" applyFont="1" applyFill="1" applyBorder="1" applyAlignment="1" applyProtection="1">
      <alignment horizontal="center"/>
      <protection locked="0"/>
    </xf>
    <xf numFmtId="1" fontId="32" fillId="18" borderId="29" xfId="60" applyNumberFormat="1" applyFont="1" applyFill="1" applyBorder="1" applyAlignment="1" applyProtection="1">
      <alignment horizontal="center"/>
      <protection locked="0"/>
    </xf>
    <xf numFmtId="1" fontId="32" fillId="18" borderId="30" xfId="60" applyNumberFormat="1" applyFont="1" applyFill="1" applyBorder="1" applyAlignment="1" applyProtection="1">
      <alignment horizontal="center"/>
      <protection locked="0"/>
    </xf>
    <xf numFmtId="1" fontId="32" fillId="18" borderId="31" xfId="60" applyNumberFormat="1" applyFont="1" applyFill="1" applyBorder="1" applyAlignment="1" applyProtection="1">
      <alignment horizontal="center"/>
      <protection locked="0"/>
    </xf>
    <xf numFmtId="1" fontId="32" fillId="18" borderId="32" xfId="60" applyNumberFormat="1" applyFont="1" applyFill="1" applyBorder="1" applyAlignment="1" applyProtection="1">
      <alignment horizontal="center"/>
      <protection locked="0"/>
    </xf>
    <xf numFmtId="164" fontId="32" fillId="2" borderId="31" xfId="60" applyNumberFormat="1" applyFont="1" applyFill="1" applyBorder="1" applyAlignment="1" applyProtection="1">
      <alignment horizontal="center"/>
      <protection locked="0"/>
    </xf>
    <xf numFmtId="9" fontId="37" fillId="0" borderId="0" xfId="60" applyNumberFormat="1" applyFont="1" applyFill="1" applyBorder="1" applyAlignment="1" applyProtection="1">
      <alignment horizontal="center"/>
      <protection locked="0"/>
    </xf>
    <xf numFmtId="164" fontId="25" fillId="11" borderId="30" xfId="60" applyNumberFormat="1" applyFont="1" applyFill="1" applyBorder="1" applyAlignment="1" applyProtection="1">
      <alignment horizontal="center"/>
      <protection locked="0"/>
    </xf>
    <xf numFmtId="164" fontId="25" fillId="11" borderId="28" xfId="60" applyNumberFormat="1" applyFont="1" applyFill="1" applyBorder="1" applyAlignment="1" applyProtection="1">
      <alignment horizontal="center"/>
      <protection locked="0"/>
    </xf>
    <xf numFmtId="164" fontId="25" fillId="11" borderId="29" xfId="60" applyNumberFormat="1" applyFont="1" applyFill="1" applyBorder="1" applyAlignment="1" applyProtection="1">
      <alignment horizontal="center"/>
      <protection locked="0"/>
    </xf>
    <xf numFmtId="9" fontId="25" fillId="11" borderId="0" xfId="64" applyFont="1" applyFill="1" applyBorder="1" applyAlignment="1" applyProtection="1">
      <alignment horizontal="center"/>
      <protection locked="0"/>
    </xf>
    <xf numFmtId="164" fontId="25" fillId="11" borderId="19" xfId="60" applyNumberFormat="1" applyFont="1" applyFill="1" applyBorder="1" applyAlignment="1" applyProtection="1">
      <alignment horizontal="center"/>
      <protection locked="0"/>
    </xf>
    <xf numFmtId="164" fontId="25" fillId="11" borderId="31" xfId="60" applyNumberFormat="1" applyFont="1" applyFill="1" applyBorder="1" applyAlignment="1" applyProtection="1">
      <alignment horizontal="center"/>
      <protection locked="0"/>
    </xf>
    <xf numFmtId="164" fontId="25" fillId="11" borderId="32" xfId="60" applyNumberFormat="1" applyFont="1" applyFill="1" applyBorder="1" applyAlignment="1" applyProtection="1">
      <alignment horizontal="center"/>
      <protection locked="0"/>
    </xf>
    <xf numFmtId="0" fontId="40" fillId="7" borderId="3" xfId="60" applyFont="1" applyFill="1" applyBorder="1" applyAlignment="1" applyProtection="1">
      <alignment horizontal="left"/>
      <protection locked="0"/>
    </xf>
    <xf numFmtId="164" fontId="25" fillId="0" borderId="30" xfId="60" applyNumberFormat="1" applyFont="1" applyFill="1" applyBorder="1" applyAlignment="1" applyProtection="1">
      <alignment horizontal="center"/>
      <protection locked="0"/>
    </xf>
    <xf numFmtId="164" fontId="25" fillId="6" borderId="0" xfId="60" applyNumberFormat="1" applyFont="1" applyFill="1" applyBorder="1" applyAlignment="1" applyProtection="1">
      <alignment horizontal="center"/>
      <protection locked="0"/>
    </xf>
    <xf numFmtId="164" fontId="25" fillId="6" borderId="46" xfId="60" applyNumberFormat="1" applyFont="1" applyFill="1" applyBorder="1" applyAlignment="1" applyProtection="1">
      <alignment horizontal="center"/>
      <protection locked="0"/>
    </xf>
    <xf numFmtId="9" fontId="25" fillId="6" borderId="27" xfId="60" applyNumberFormat="1" applyFont="1" applyFill="1" applyBorder="1" applyAlignment="1" applyProtection="1">
      <alignment horizontal="center"/>
      <protection locked="0"/>
    </xf>
    <xf numFmtId="164" fontId="25" fillId="18" borderId="26" xfId="60" applyNumberFormat="1" applyFont="1" applyFill="1" applyBorder="1" applyAlignment="1" applyProtection="1">
      <alignment horizontal="center"/>
      <protection locked="0"/>
    </xf>
    <xf numFmtId="1" fontId="25" fillId="7" borderId="13" xfId="60" applyNumberFormat="1" applyFont="1" applyFill="1" applyBorder="1" applyAlignment="1" applyProtection="1">
      <alignment horizontal="left" wrapText="1"/>
      <protection locked="0"/>
    </xf>
    <xf numFmtId="1" fontId="25" fillId="7" borderId="14" xfId="60" applyNumberFormat="1" applyFont="1" applyFill="1" applyBorder="1" applyAlignment="1" applyProtection="1">
      <alignment horizontal="left" wrapText="1"/>
      <protection locked="0"/>
    </xf>
    <xf numFmtId="9" fontId="39" fillId="0" borderId="0" xfId="64" applyFont="1" applyFill="1" applyBorder="1" applyAlignment="1" applyProtection="1">
      <alignment horizontal="center"/>
      <protection locked="0"/>
    </xf>
    <xf numFmtId="168" fontId="25" fillId="9" borderId="0" xfId="45" applyNumberFormat="1" applyFont="1" applyFill="1" applyBorder="1" applyAlignment="1" applyProtection="1">
      <alignment horizontal="center"/>
      <protection locked="0"/>
    </xf>
    <xf numFmtId="22" fontId="25" fillId="9" borderId="19" xfId="60" applyNumberFormat="1" applyFont="1" applyFill="1" applyBorder="1" applyAlignment="1" applyProtection="1">
      <alignment horizontal="right"/>
      <protection locked="0"/>
    </xf>
    <xf numFmtId="164" fontId="25" fillId="9" borderId="0" xfId="60" applyNumberFormat="1" applyFont="1" applyFill="1" applyBorder="1" applyAlignment="1" applyProtection="1">
      <alignment horizontal="center"/>
      <protection locked="0"/>
    </xf>
    <xf numFmtId="9" fontId="25" fillId="9" borderId="0" xfId="64" applyFont="1" applyFill="1" applyBorder="1" applyAlignment="1" applyProtection="1">
      <alignment horizontal="center"/>
      <protection locked="0"/>
    </xf>
    <xf numFmtId="164" fontId="25" fillId="9" borderId="19" xfId="60" applyNumberFormat="1" applyFont="1" applyFill="1" applyBorder="1" applyAlignment="1" applyProtection="1">
      <alignment horizontal="center"/>
      <protection locked="0"/>
    </xf>
    <xf numFmtId="9" fontId="25" fillId="6" borderId="0" xfId="64" applyFont="1" applyFill="1" applyBorder="1" applyAlignment="1" applyProtection="1">
      <alignment horizontal="center"/>
      <protection locked="0"/>
    </xf>
    <xf numFmtId="164" fontId="25" fillId="7" borderId="0" xfId="60" applyNumberFormat="1" applyFont="1" applyFill="1" applyBorder="1" applyAlignment="1" applyProtection="1">
      <alignment horizontal="center"/>
      <protection locked="0"/>
    </xf>
    <xf numFmtId="164" fontId="25" fillId="6" borderId="19" xfId="60" applyNumberFormat="1" applyFont="1" applyFill="1" applyBorder="1" applyAlignment="1" applyProtection="1">
      <alignment horizontal="center"/>
      <protection locked="0"/>
    </xf>
    <xf numFmtId="164" fontId="25" fillId="6" borderId="47" xfId="60" applyNumberFormat="1" applyFont="1" applyFill="1" applyBorder="1" applyAlignment="1" applyProtection="1">
      <alignment horizontal="center"/>
      <protection locked="0"/>
    </xf>
    <xf numFmtId="9" fontId="25" fillId="6" borderId="32" xfId="60" applyNumberFormat="1" applyFont="1" applyFill="1" applyBorder="1" applyAlignment="1" applyProtection="1">
      <alignment horizontal="center"/>
      <protection locked="0"/>
    </xf>
    <xf numFmtId="164" fontId="25" fillId="18" borderId="31" xfId="60" applyNumberFormat="1" applyFont="1" applyFill="1" applyBorder="1" applyAlignment="1" applyProtection="1">
      <alignment horizontal="center"/>
      <protection locked="0"/>
    </xf>
    <xf numFmtId="1" fontId="25" fillId="7" borderId="16" xfId="60" applyNumberFormat="1" applyFont="1" applyFill="1" applyBorder="1" applyAlignment="1" applyProtection="1">
      <alignment horizontal="left" wrapText="1"/>
      <protection locked="0"/>
    </xf>
    <xf numFmtId="1" fontId="25" fillId="7" borderId="17" xfId="60" applyNumberFormat="1" applyFont="1" applyFill="1" applyBorder="1" applyAlignment="1" applyProtection="1">
      <alignment horizontal="left" wrapText="1"/>
      <protection locked="0"/>
    </xf>
    <xf numFmtId="164" fontId="25" fillId="0" borderId="47" xfId="60" applyNumberFormat="1" applyFont="1" applyFill="1" applyBorder="1" applyAlignment="1" applyProtection="1">
      <alignment horizontal="center"/>
      <protection locked="0"/>
    </xf>
    <xf numFmtId="9" fontId="25" fillId="0" borderId="32" xfId="60" applyNumberFormat="1" applyFont="1" applyFill="1" applyBorder="1" applyAlignment="1" applyProtection="1">
      <alignment horizontal="center"/>
      <protection locked="0"/>
    </xf>
    <xf numFmtId="164" fontId="25" fillId="0" borderId="31" xfId="60" applyNumberFormat="1" applyFont="1" applyFill="1" applyBorder="1" applyAlignment="1" applyProtection="1">
      <alignment horizontal="center"/>
      <protection locked="0"/>
    </xf>
    <xf numFmtId="1" fontId="35" fillId="0" borderId="0" xfId="60" applyNumberFormat="1" applyFont="1" applyFill="1" applyBorder="1" applyAlignment="1" applyProtection="1">
      <alignment horizontal="left"/>
      <protection locked="0"/>
    </xf>
    <xf numFmtId="1" fontId="41" fillId="0" borderId="0" xfId="60" applyNumberFormat="1" applyFont="1" applyFill="1" applyBorder="1" applyAlignment="1" applyProtection="1">
      <alignment horizontal="center"/>
      <protection locked="0"/>
    </xf>
    <xf numFmtId="1" fontId="25" fillId="0" borderId="0" xfId="60" applyNumberFormat="1" applyFont="1" applyFill="1" applyBorder="1" applyAlignment="1" applyProtection="1">
      <alignment horizontal="center"/>
      <protection locked="0"/>
    </xf>
    <xf numFmtId="1" fontId="25" fillId="0" borderId="19" xfId="60" applyNumberFormat="1" applyFont="1" applyFill="1" applyBorder="1" applyAlignment="1" applyProtection="1">
      <alignment horizontal="center"/>
      <protection locked="0"/>
    </xf>
    <xf numFmtId="164" fontId="25" fillId="9" borderId="47" xfId="60" applyNumberFormat="1" applyFont="1" applyFill="1" applyBorder="1" applyAlignment="1" applyProtection="1">
      <alignment horizontal="center"/>
      <protection locked="0"/>
    </xf>
    <xf numFmtId="9" fontId="25" fillId="9" borderId="32" xfId="60" applyNumberFormat="1" applyFont="1" applyFill="1" applyBorder="1" applyAlignment="1" applyProtection="1">
      <alignment horizontal="center"/>
      <protection locked="0"/>
    </xf>
    <xf numFmtId="1" fontId="25" fillId="0" borderId="0" xfId="60" applyNumberFormat="1" applyFont="1" applyFill="1" applyBorder="1" applyAlignment="1" applyProtection="1">
      <alignment horizontal="left"/>
      <protection locked="0"/>
    </xf>
    <xf numFmtId="1" fontId="25" fillId="0" borderId="19" xfId="60" applyNumberFormat="1" applyFont="1" applyFill="1" applyBorder="1" applyAlignment="1" applyProtection="1">
      <alignment horizontal="left"/>
      <protection locked="0"/>
    </xf>
    <xf numFmtId="0" fontId="32" fillId="0" borderId="18" xfId="60" applyFont="1" applyFill="1" applyBorder="1" applyAlignment="1" applyProtection="1">
      <alignment horizontal="left" indent="1"/>
      <protection locked="0"/>
    </xf>
    <xf numFmtId="164" fontId="32" fillId="18" borderId="47" xfId="60" applyNumberFormat="1" applyFont="1" applyFill="1" applyBorder="1" applyAlignment="1" applyProtection="1">
      <alignment horizontal="center"/>
      <protection locked="0"/>
    </xf>
    <xf numFmtId="9" fontId="25" fillId="18" borderId="32" xfId="64" applyFont="1" applyFill="1" applyBorder="1" applyAlignment="1" applyProtection="1">
      <alignment horizontal="center"/>
      <protection locked="0"/>
    </xf>
    <xf numFmtId="164" fontId="32" fillId="6" borderId="47" xfId="60" applyNumberFormat="1" applyFont="1" applyFill="1" applyBorder="1" applyAlignment="1" applyProtection="1">
      <alignment horizontal="center"/>
      <protection locked="0"/>
    </xf>
    <xf numFmtId="9" fontId="39" fillId="2" borderId="0" xfId="64" applyFont="1" applyFill="1" applyBorder="1" applyAlignment="1" applyProtection="1">
      <alignment horizontal="center"/>
      <protection locked="0"/>
    </xf>
    <xf numFmtId="164" fontId="42" fillId="2" borderId="19" xfId="60" applyNumberFormat="1" applyFont="1" applyFill="1" applyBorder="1" applyAlignment="1" applyProtection="1">
      <alignment horizontal="center"/>
      <protection locked="0"/>
    </xf>
    <xf numFmtId="0" fontId="25" fillId="0" borderId="18" xfId="60" applyFont="1" applyFill="1" applyBorder="1" applyAlignment="1" applyProtection="1">
      <alignment horizontal="left" indent="1"/>
      <protection locked="0"/>
    </xf>
    <xf numFmtId="164" fontId="32" fillId="9" borderId="47" xfId="60" applyNumberFormat="1" applyFont="1" applyFill="1" applyBorder="1" applyAlignment="1" applyProtection="1">
      <alignment horizontal="center"/>
      <protection locked="0"/>
    </xf>
    <xf numFmtId="9" fontId="25" fillId="2" borderId="0" xfId="64" applyFont="1" applyFill="1" applyBorder="1" applyAlignment="1" applyProtection="1">
      <alignment horizontal="center"/>
      <protection locked="0"/>
    </xf>
    <xf numFmtId="164" fontId="32" fillId="2" borderId="19" xfId="60" applyNumberFormat="1" applyFont="1" applyFill="1" applyBorder="1" applyAlignment="1" applyProtection="1">
      <alignment horizontal="center"/>
      <protection locked="0"/>
    </xf>
    <xf numFmtId="164" fontId="25" fillId="19" borderId="24" xfId="60" applyNumberFormat="1" applyFont="1" applyFill="1" applyBorder="1" applyAlignment="1" applyProtection="1">
      <alignment horizontal="center"/>
      <protection locked="0"/>
    </xf>
    <xf numFmtId="9" fontId="25" fillId="19" borderId="24" xfId="60" applyNumberFormat="1" applyFont="1" applyFill="1" applyBorder="1" applyAlignment="1" applyProtection="1">
      <alignment horizontal="center"/>
      <protection locked="0"/>
    </xf>
    <xf numFmtId="164" fontId="25" fillId="9" borderId="26" xfId="60" applyNumberFormat="1" applyFont="1" applyFill="1" applyBorder="1" applyAlignment="1" applyProtection="1">
      <alignment horizontal="center"/>
      <protection locked="0"/>
    </xf>
    <xf numFmtId="1" fontId="25" fillId="9" borderId="19" xfId="60" applyNumberFormat="1" applyFont="1" applyFill="1" applyBorder="1" applyAlignment="1" applyProtection="1">
      <alignment horizontal="center"/>
      <protection locked="0"/>
    </xf>
    <xf numFmtId="1" fontId="25" fillId="9" borderId="32" xfId="60" applyNumberFormat="1" applyFont="1" applyFill="1" applyBorder="1" applyAlignment="1" applyProtection="1">
      <alignment horizontal="center"/>
      <protection locked="0"/>
    </xf>
    <xf numFmtId="1" fontId="25" fillId="9" borderId="31" xfId="60" applyNumberFormat="1" applyFont="1" applyFill="1" applyBorder="1" applyAlignment="1" applyProtection="1">
      <alignment horizontal="center"/>
      <protection locked="0"/>
    </xf>
    <xf numFmtId="1" fontId="25" fillId="0" borderId="29" xfId="60" applyNumberFormat="1" applyFont="1" applyFill="1" applyBorder="1" applyAlignment="1" applyProtection="1">
      <alignment horizontal="center"/>
      <protection locked="0"/>
    </xf>
    <xf numFmtId="1" fontId="25" fillId="0" borderId="30" xfId="60" applyNumberFormat="1" applyFont="1" applyFill="1" applyBorder="1" applyAlignment="1" applyProtection="1">
      <alignment horizontal="center"/>
      <protection locked="0"/>
    </xf>
    <xf numFmtId="1" fontId="25" fillId="0" borderId="31" xfId="60" applyNumberFormat="1" applyFont="1" applyFill="1" applyBorder="1" applyAlignment="1" applyProtection="1">
      <alignment horizontal="center"/>
      <protection locked="0"/>
    </xf>
    <xf numFmtId="1" fontId="25" fillId="0" borderId="32" xfId="60" applyNumberFormat="1" applyFont="1" applyFill="1" applyBorder="1" applyAlignment="1" applyProtection="1">
      <alignment horizontal="center"/>
      <protection locked="0"/>
    </xf>
    <xf numFmtId="22" fontId="25" fillId="0" borderId="31" xfId="60" applyNumberFormat="1" applyFont="1" applyFill="1" applyBorder="1" applyAlignment="1" applyProtection="1">
      <alignment horizontal="right"/>
      <protection locked="0"/>
    </xf>
    <xf numFmtId="164" fontId="25" fillId="0" borderId="29" xfId="60" applyNumberFormat="1" applyFont="1" applyFill="1" applyBorder="1" applyAlignment="1" applyProtection="1">
      <alignment horizontal="center"/>
      <protection locked="0"/>
    </xf>
    <xf numFmtId="9" fontId="25" fillId="9" borderId="29" xfId="60" applyNumberFormat="1" applyFont="1" applyFill="1" applyBorder="1" applyAlignment="1" applyProtection="1">
      <alignment horizontal="center"/>
      <protection locked="0"/>
    </xf>
    <xf numFmtId="168" fontId="25" fillId="0" borderId="30" xfId="45" applyNumberFormat="1" applyFont="1" applyFill="1" applyBorder="1" applyAlignment="1" applyProtection="1">
      <alignment horizontal="center"/>
      <protection locked="0"/>
    </xf>
    <xf numFmtId="9" fontId="37" fillId="0" borderId="0" xfId="60" applyNumberFormat="1" applyFont="1" applyFill="1" applyBorder="1" applyAlignment="1" applyProtection="1">
      <alignment horizontal="right"/>
      <protection locked="0"/>
    </xf>
    <xf numFmtId="164" fontId="25" fillId="18" borderId="29" xfId="60" applyNumberFormat="1" applyFont="1" applyFill="1" applyBorder="1" applyAlignment="1" applyProtection="1">
      <alignment horizontal="center"/>
      <protection locked="0"/>
    </xf>
    <xf numFmtId="1" fontId="25" fillId="18" borderId="29" xfId="60" applyNumberFormat="1" applyFont="1" applyFill="1" applyBorder="1" applyAlignment="1" applyProtection="1">
      <alignment horizontal="center"/>
      <protection locked="0"/>
    </xf>
    <xf numFmtId="1" fontId="25" fillId="18" borderId="30" xfId="60" applyNumberFormat="1" applyFont="1" applyFill="1" applyBorder="1" applyAlignment="1" applyProtection="1">
      <alignment horizontal="center"/>
      <protection locked="0"/>
    </xf>
    <xf numFmtId="1" fontId="25" fillId="18" borderId="31" xfId="60" applyNumberFormat="1" applyFont="1" applyFill="1" applyBorder="1" applyAlignment="1" applyProtection="1">
      <alignment horizontal="center"/>
      <protection locked="0"/>
    </xf>
    <xf numFmtId="1" fontId="25" fillId="18" borderId="19" xfId="60" applyNumberFormat="1" applyFont="1" applyFill="1" applyBorder="1" applyAlignment="1" applyProtection="1">
      <alignment horizontal="center"/>
      <protection locked="0"/>
    </xf>
    <xf numFmtId="1" fontId="25" fillId="18" borderId="32" xfId="60" applyNumberFormat="1" applyFont="1" applyFill="1" applyBorder="1" applyAlignment="1" applyProtection="1">
      <alignment horizontal="center"/>
      <protection locked="0"/>
    </xf>
    <xf numFmtId="168" fontId="25" fillId="18" borderId="30" xfId="45" applyNumberFormat="1" applyFont="1" applyFill="1" applyBorder="1" applyAlignment="1" applyProtection="1">
      <alignment horizontal="center"/>
      <protection locked="0"/>
    </xf>
    <xf numFmtId="0" fontId="25" fillId="0" borderId="31" xfId="60" applyFont="1" applyFill="1" applyBorder="1" applyAlignment="1" applyProtection="1">
      <alignment horizontal="center"/>
      <protection locked="0"/>
    </xf>
    <xf numFmtId="164" fontId="25" fillId="6" borderId="48" xfId="60" applyNumberFormat="1" applyFont="1" applyFill="1" applyBorder="1" applyAlignment="1" applyProtection="1">
      <alignment horizontal="center"/>
      <protection locked="0"/>
    </xf>
    <xf numFmtId="9" fontId="25" fillId="7" borderId="49" xfId="64" applyFont="1" applyFill="1" applyBorder="1" applyAlignment="1" applyProtection="1">
      <alignment horizontal="center"/>
      <protection locked="0"/>
    </xf>
    <xf numFmtId="164" fontId="25" fillId="6" borderId="50" xfId="60" applyNumberFormat="1" applyFont="1" applyFill="1" applyBorder="1" applyAlignment="1" applyProtection="1">
      <alignment horizontal="center"/>
      <protection locked="0"/>
    </xf>
    <xf numFmtId="164" fontId="25" fillId="6" borderId="49" xfId="60" applyNumberFormat="1" applyFont="1" applyFill="1" applyBorder="1" applyAlignment="1" applyProtection="1">
      <alignment horizontal="center"/>
      <protection locked="0"/>
    </xf>
    <xf numFmtId="0" fontId="43" fillId="0" borderId="18" xfId="60" applyFont="1" applyFill="1" applyBorder="1" applyProtection="1">
      <alignment/>
      <protection locked="0"/>
    </xf>
    <xf numFmtId="0" fontId="25" fillId="2" borderId="30" xfId="60" applyFont="1" applyFill="1" applyBorder="1" applyProtection="1">
      <alignment/>
      <protection locked="0"/>
    </xf>
    <xf numFmtId="0" fontId="25" fillId="2" borderId="28" xfId="60" applyFont="1" applyFill="1" applyBorder="1" applyProtection="1">
      <alignment/>
      <protection locked="0"/>
    </xf>
    <xf numFmtId="0" fontId="25" fillId="0" borderId="29" xfId="60" applyFont="1" applyFill="1" applyBorder="1" applyProtection="1">
      <alignment/>
      <protection locked="0"/>
    </xf>
    <xf numFmtId="0" fontId="25" fillId="0" borderId="30" xfId="60" applyFont="1" applyFill="1" applyBorder="1" applyProtection="1">
      <alignment/>
      <protection locked="0"/>
    </xf>
    <xf numFmtId="164" fontId="43" fillId="0" borderId="31" xfId="60" applyNumberFormat="1" applyFont="1" applyFill="1" applyBorder="1" applyAlignment="1" applyProtection="1">
      <alignment horizontal="center"/>
      <protection locked="0"/>
    </xf>
    <xf numFmtId="1" fontId="25" fillId="0" borderId="29" xfId="60" applyNumberFormat="1" applyFont="1" applyFill="1" applyBorder="1" applyProtection="1">
      <alignment/>
      <protection locked="0"/>
    </xf>
    <xf numFmtId="1" fontId="25" fillId="0" borderId="30" xfId="60" applyNumberFormat="1" applyFont="1" applyFill="1" applyBorder="1" applyProtection="1">
      <alignment/>
      <protection locked="0"/>
    </xf>
    <xf numFmtId="1" fontId="25" fillId="0" borderId="31" xfId="60" applyNumberFormat="1" applyFont="1" applyFill="1" applyBorder="1" applyProtection="1">
      <alignment/>
      <protection locked="0"/>
    </xf>
    <xf numFmtId="1" fontId="25" fillId="0" borderId="19" xfId="60" applyNumberFormat="1" applyFont="1" applyFill="1" applyBorder="1" applyProtection="1">
      <alignment/>
      <protection locked="0"/>
    </xf>
    <xf numFmtId="1" fontId="25" fillId="0" borderId="32" xfId="60" applyNumberFormat="1" applyFont="1" applyFill="1" applyBorder="1" applyProtection="1">
      <alignment/>
      <protection locked="0"/>
    </xf>
    <xf numFmtId="0" fontId="25" fillId="0" borderId="32" xfId="60" applyFont="1" applyFill="1" applyBorder="1" applyProtection="1">
      <alignment/>
      <protection locked="0"/>
    </xf>
    <xf numFmtId="0" fontId="25" fillId="0" borderId="31" xfId="60" applyFont="1" applyFill="1" applyBorder="1" applyProtection="1">
      <alignment/>
      <protection locked="0"/>
    </xf>
    <xf numFmtId="0" fontId="25" fillId="2" borderId="29" xfId="60" applyFont="1" applyFill="1" applyBorder="1" applyProtection="1">
      <alignment/>
      <protection locked="0"/>
    </xf>
    <xf numFmtId="0" fontId="25" fillId="2" borderId="31" xfId="60" applyFont="1" applyFill="1" applyBorder="1" applyProtection="1">
      <alignment/>
      <protection locked="0"/>
    </xf>
    <xf numFmtId="0" fontId="32" fillId="0" borderId="0" xfId="60" applyFont="1" applyFill="1" applyBorder="1" applyProtection="1">
      <alignment/>
      <protection locked="0"/>
    </xf>
    <xf numFmtId="0" fontId="31" fillId="0" borderId="0" xfId="60" applyFont="1" applyFill="1" applyBorder="1" applyAlignment="1" applyProtection="1">
      <alignment horizontal="right"/>
      <protection locked="0"/>
    </xf>
    <xf numFmtId="9" fontId="31" fillId="0" borderId="0" xfId="60" applyNumberFormat="1" applyFont="1" applyFill="1" applyBorder="1" applyAlignment="1" applyProtection="1">
      <alignment horizontal="right"/>
      <protection locked="0"/>
    </xf>
    <xf numFmtId="164" fontId="25" fillId="18" borderId="38" xfId="60" applyNumberFormat="1" applyFont="1" applyFill="1" applyBorder="1" applyAlignment="1" applyProtection="1">
      <alignment horizontal="center"/>
      <protection locked="0"/>
    </xf>
    <xf numFmtId="9" fontId="25" fillId="7" borderId="37" xfId="64" applyFont="1" applyFill="1" applyBorder="1" applyAlignment="1" applyProtection="1">
      <alignment horizontal="center"/>
      <protection locked="0"/>
    </xf>
    <xf numFmtId="164" fontId="25" fillId="6" borderId="38" xfId="60" applyNumberFormat="1" applyFont="1" applyFill="1" applyBorder="1" applyAlignment="1" applyProtection="1">
      <alignment horizontal="center"/>
      <protection locked="0"/>
    </xf>
    <xf numFmtId="9" fontId="31" fillId="0" borderId="0" xfId="64" applyFont="1" applyFill="1" applyBorder="1" applyAlignment="1" applyProtection="1">
      <alignment horizontal="right"/>
      <protection locked="0"/>
    </xf>
    <xf numFmtId="9" fontId="31" fillId="0" borderId="0" xfId="64" applyNumberFormat="1" applyFont="1" applyFill="1" applyBorder="1" applyAlignment="1" applyProtection="1">
      <alignment horizontal="right"/>
      <protection locked="0"/>
    </xf>
    <xf numFmtId="9" fontId="25" fillId="0" borderId="19" xfId="60" applyNumberFormat="1" applyFont="1" applyFill="1" applyBorder="1" applyAlignment="1" applyProtection="1">
      <alignment horizontal="center"/>
      <protection locked="0"/>
    </xf>
    <xf numFmtId="9" fontId="25" fillId="2" borderId="51" xfId="60" applyNumberFormat="1" applyFont="1" applyFill="1" applyBorder="1" applyAlignment="1" applyProtection="1">
      <alignment horizontal="center"/>
      <protection locked="0"/>
    </xf>
    <xf numFmtId="9" fontId="25" fillId="2" borderId="52" xfId="60" applyNumberFormat="1" applyFont="1" applyFill="1" applyBorder="1" applyAlignment="1" applyProtection="1">
      <alignment horizontal="center"/>
      <protection locked="0"/>
    </xf>
    <xf numFmtId="9" fontId="25" fillId="2" borderId="0" xfId="60" applyNumberFormat="1" applyFont="1" applyFill="1" applyBorder="1" applyAlignment="1" applyProtection="1">
      <alignment horizontal="center"/>
      <protection locked="0"/>
    </xf>
    <xf numFmtId="164" fontId="25" fillId="2" borderId="28" xfId="60" applyNumberFormat="1" applyFont="1" applyFill="1" applyBorder="1" applyAlignment="1" applyProtection="1">
      <alignment horizontal="center"/>
      <protection locked="0"/>
    </xf>
    <xf numFmtId="9" fontId="25" fillId="0" borderId="0" xfId="64" applyFont="1" applyFill="1" applyBorder="1" applyAlignment="1" applyProtection="1">
      <alignment horizontal="center"/>
      <protection locked="0"/>
    </xf>
    <xf numFmtId="9" fontId="25" fillId="0" borderId="19" xfId="64" applyFont="1" applyFill="1" applyBorder="1" applyAlignment="1" applyProtection="1">
      <alignment horizontal="center"/>
      <protection locked="0"/>
    </xf>
    <xf numFmtId="9" fontId="25" fillId="2" borderId="28" xfId="64" applyFont="1" applyFill="1" applyBorder="1" applyAlignment="1" applyProtection="1">
      <alignment horizontal="center"/>
      <protection locked="0"/>
    </xf>
    <xf numFmtId="9" fontId="25" fillId="2" borderId="19" xfId="64" applyFont="1" applyFill="1" applyBorder="1" applyAlignment="1" applyProtection="1">
      <alignment horizontal="center"/>
      <protection locked="0"/>
    </xf>
    <xf numFmtId="164" fontId="32" fillId="18" borderId="30" xfId="60" applyNumberFormat="1" applyFont="1" applyFill="1" applyBorder="1" applyAlignment="1" applyProtection="1">
      <alignment horizontal="center"/>
      <protection locked="0"/>
    </xf>
    <xf numFmtId="164" fontId="32" fillId="18" borderId="28" xfId="60" applyNumberFormat="1" applyFont="1" applyFill="1" applyBorder="1" applyAlignment="1" applyProtection="1">
      <alignment horizontal="center"/>
      <protection locked="0"/>
    </xf>
    <xf numFmtId="0" fontId="25" fillId="0" borderId="16" xfId="60" applyFont="1" applyFill="1" applyBorder="1" applyAlignment="1" applyProtection="1">
      <alignment horizontal="center"/>
      <protection locked="0"/>
    </xf>
    <xf numFmtId="0" fontId="25" fillId="0" borderId="17" xfId="60" applyFont="1" applyFill="1" applyBorder="1" applyAlignment="1" applyProtection="1">
      <alignment horizontal="center"/>
      <protection locked="0"/>
    </xf>
    <xf numFmtId="1" fontId="32" fillId="18" borderId="17" xfId="60" applyNumberFormat="1" applyFont="1" applyFill="1" applyBorder="1" applyAlignment="1" applyProtection="1">
      <alignment horizontal="center"/>
      <protection locked="0"/>
    </xf>
    <xf numFmtId="0" fontId="25" fillId="2" borderId="53" xfId="60" applyFont="1" applyFill="1" applyBorder="1" applyAlignment="1" applyProtection="1">
      <alignment horizontal="center"/>
      <protection locked="0"/>
    </xf>
    <xf numFmtId="0" fontId="25" fillId="2" borderId="17" xfId="60" applyFont="1" applyFill="1" applyBorder="1" applyAlignment="1" applyProtection="1">
      <alignment horizontal="center"/>
      <protection locked="0"/>
    </xf>
    <xf numFmtId="164" fontId="32" fillId="18" borderId="42" xfId="60" applyNumberFormat="1" applyFont="1" applyFill="1" applyBorder="1" applyAlignment="1" applyProtection="1">
      <alignment horizontal="center"/>
      <protection locked="0"/>
    </xf>
    <xf numFmtId="164" fontId="32" fillId="6" borderId="44" xfId="60" applyNumberFormat="1" applyFont="1" applyFill="1" applyBorder="1" applyAlignment="1" applyProtection="1">
      <alignment horizontal="center"/>
      <protection locked="0"/>
    </xf>
    <xf numFmtId="0" fontId="25" fillId="2" borderId="16" xfId="60" applyFont="1" applyFill="1" applyBorder="1" applyAlignment="1" applyProtection="1">
      <alignment horizontal="center"/>
      <protection locked="0"/>
    </xf>
    <xf numFmtId="164" fontId="32" fillId="6" borderId="29" xfId="60" applyNumberFormat="1" applyFont="1" applyFill="1" applyBorder="1" applyAlignment="1" applyProtection="1">
      <alignment horizontal="center"/>
      <protection locked="0"/>
    </xf>
    <xf numFmtId="164" fontId="32" fillId="6" borderId="42" xfId="60" applyNumberFormat="1" applyFont="1" applyFill="1" applyBorder="1" applyAlignment="1" applyProtection="1">
      <alignment horizontal="center"/>
      <protection locked="0"/>
    </xf>
    <xf numFmtId="164" fontId="32" fillId="6" borderId="30" xfId="60" applyNumberFormat="1" applyFont="1" applyFill="1" applyBorder="1" applyAlignment="1" applyProtection="1">
      <alignment horizontal="center"/>
      <protection locked="0"/>
    </xf>
    <xf numFmtId="164" fontId="32" fillId="6" borderId="43" xfId="60" applyNumberFormat="1" applyFont="1" applyFill="1" applyBorder="1" applyAlignment="1" applyProtection="1">
      <alignment horizontal="center"/>
      <protection locked="0"/>
    </xf>
    <xf numFmtId="164" fontId="25" fillId="19" borderId="23" xfId="60" applyNumberFormat="1" applyFont="1" applyFill="1" applyBorder="1" applyAlignment="1" applyProtection="1">
      <alignment horizontal="center"/>
      <protection locked="0"/>
    </xf>
    <xf numFmtId="0" fontId="25" fillId="0" borderId="12" xfId="60" applyFont="1" applyFill="1" applyBorder="1" applyProtection="1">
      <alignment/>
      <protection locked="0"/>
    </xf>
    <xf numFmtId="0" fontId="25" fillId="0" borderId="13" xfId="60" applyFont="1" applyFill="1" applyBorder="1" applyAlignment="1" applyProtection="1">
      <alignment horizontal="right"/>
      <protection locked="0"/>
    </xf>
    <xf numFmtId="0" fontId="25" fillId="0" borderId="13" xfId="60" applyFont="1" applyFill="1" applyBorder="1" applyProtection="1">
      <alignment/>
      <protection locked="0"/>
    </xf>
    <xf numFmtId="0" fontId="34" fillId="0" borderId="14" xfId="60" applyFont="1" applyFill="1" applyBorder="1" applyProtection="1">
      <alignment/>
      <protection locked="0"/>
    </xf>
    <xf numFmtId="0" fontId="25" fillId="0" borderId="19" xfId="60" applyFont="1" applyFill="1" applyBorder="1" applyAlignment="1" applyProtection="1">
      <alignment horizontal="right"/>
      <protection locked="0"/>
    </xf>
    <xf numFmtId="164" fontId="25" fillId="9" borderId="27" xfId="60" applyNumberFormat="1" applyFont="1" applyFill="1" applyBorder="1" applyAlignment="1" applyProtection="1">
      <alignment horizontal="center"/>
      <protection locked="0"/>
    </xf>
    <xf numFmtId="22" fontId="25" fillId="9" borderId="31" xfId="60" applyNumberFormat="1" applyFont="1" applyFill="1" applyBorder="1" applyProtection="1">
      <alignment/>
      <protection locked="0"/>
    </xf>
    <xf numFmtId="0" fontId="25" fillId="0" borderId="0" xfId="60" applyFont="1" applyFill="1" applyBorder="1" applyAlignment="1" applyProtection="1">
      <alignment horizontal="right"/>
      <protection locked="0"/>
    </xf>
    <xf numFmtId="0" fontId="25" fillId="9" borderId="25" xfId="60" applyFont="1" applyFill="1" applyBorder="1" applyAlignment="1" applyProtection="1">
      <alignment horizontal="center"/>
      <protection locked="0"/>
    </xf>
    <xf numFmtId="0" fontId="34" fillId="0" borderId="0" xfId="60" applyFont="1" applyFill="1" applyBorder="1" applyProtection="1">
      <alignment/>
      <protection locked="0"/>
    </xf>
    <xf numFmtId="0" fontId="34" fillId="0" borderId="0" xfId="60" applyFont="1" applyFill="1" applyBorder="1" applyAlignment="1" applyProtection="1">
      <alignment horizontal="right"/>
      <protection locked="0"/>
    </xf>
    <xf numFmtId="1" fontId="34" fillId="9" borderId="25" xfId="60" applyNumberFormat="1" applyFont="1" applyFill="1" applyBorder="1" applyAlignment="1" applyProtection="1">
      <alignment horizontal="center"/>
      <protection locked="0"/>
    </xf>
    <xf numFmtId="0" fontId="25" fillId="6" borderId="25" xfId="60" applyFont="1" applyFill="1" applyBorder="1" applyAlignment="1" applyProtection="1">
      <alignment horizontal="center"/>
      <protection locked="0"/>
    </xf>
    <xf numFmtId="1" fontId="25" fillId="6" borderId="25" xfId="60" applyNumberFormat="1" applyFont="1" applyFill="1" applyBorder="1" applyAlignment="1" applyProtection="1">
      <alignment horizontal="center"/>
      <protection locked="0"/>
    </xf>
    <xf numFmtId="1" fontId="34" fillId="6" borderId="25" xfId="60" applyNumberFormat="1" applyFont="1" applyFill="1" applyBorder="1" applyAlignment="1" applyProtection="1">
      <alignment horizontal="center"/>
      <protection locked="0"/>
    </xf>
    <xf numFmtId="164" fontId="25" fillId="9" borderId="28" xfId="60" applyNumberFormat="1" applyFont="1" applyFill="1" applyBorder="1" applyAlignment="1" applyProtection="1">
      <alignment horizontal="center"/>
      <protection locked="0"/>
    </xf>
    <xf numFmtId="0" fontId="34" fillId="0" borderId="19" xfId="60" applyFont="1" applyFill="1" applyBorder="1" applyProtection="1">
      <alignment/>
      <protection locked="0"/>
    </xf>
    <xf numFmtId="164" fontId="25" fillId="9" borderId="32" xfId="60" applyNumberFormat="1" applyFont="1" applyFill="1" applyBorder="1" applyAlignment="1" applyProtection="1">
      <alignment horizontal="center"/>
      <protection locked="0"/>
    </xf>
    <xf numFmtId="168" fontId="25" fillId="9" borderId="32" xfId="45" applyNumberFormat="1" applyFont="1" applyFill="1" applyBorder="1" applyAlignment="1" applyProtection="1">
      <alignment horizontal="center"/>
      <protection locked="0"/>
    </xf>
    <xf numFmtId="0" fontId="25" fillId="9" borderId="30" xfId="60" applyFont="1" applyFill="1" applyBorder="1" applyAlignment="1" applyProtection="1">
      <alignment horizontal="center"/>
      <protection locked="0"/>
    </xf>
    <xf numFmtId="1" fontId="34" fillId="9" borderId="30" xfId="60" applyNumberFormat="1" applyFont="1" applyFill="1" applyBorder="1" applyAlignment="1" applyProtection="1">
      <alignment horizontal="center"/>
      <protection locked="0"/>
    </xf>
    <xf numFmtId="0" fontId="25" fillId="6" borderId="30" xfId="60" applyFont="1" applyFill="1" applyBorder="1" applyAlignment="1" applyProtection="1">
      <alignment horizontal="center"/>
      <protection locked="0"/>
    </xf>
    <xf numFmtId="1" fontId="34" fillId="6" borderId="30" xfId="60" applyNumberFormat="1" applyFont="1" applyFill="1" applyBorder="1" applyAlignment="1" applyProtection="1">
      <alignment horizontal="center"/>
      <protection locked="0"/>
    </xf>
    <xf numFmtId="164" fontId="25" fillId="9" borderId="37" xfId="60" applyNumberFormat="1" applyFont="1" applyFill="1" applyBorder="1" applyAlignment="1" applyProtection="1">
      <alignment horizontal="center"/>
      <protection locked="0"/>
    </xf>
    <xf numFmtId="164" fontId="25" fillId="9" borderId="39" xfId="60" applyNumberFormat="1" applyFont="1" applyFill="1" applyBorder="1" applyAlignment="1" applyProtection="1">
      <alignment horizontal="center"/>
      <protection locked="0"/>
    </xf>
    <xf numFmtId="0" fontId="25" fillId="9" borderId="37" xfId="60" applyFont="1" applyFill="1" applyBorder="1" applyAlignment="1" applyProtection="1">
      <alignment horizontal="center"/>
      <protection locked="0"/>
    </xf>
    <xf numFmtId="1" fontId="25" fillId="9" borderId="37" xfId="60" applyNumberFormat="1" applyFont="1" applyFill="1" applyBorder="1" applyAlignment="1" applyProtection="1">
      <alignment horizontal="center"/>
      <protection locked="0"/>
    </xf>
    <xf numFmtId="1" fontId="34" fillId="9" borderId="37" xfId="60" applyNumberFormat="1" applyFont="1" applyFill="1" applyBorder="1" applyAlignment="1" applyProtection="1">
      <alignment horizontal="center"/>
      <protection locked="0"/>
    </xf>
    <xf numFmtId="0" fontId="25" fillId="6" borderId="37" xfId="60" applyFont="1" applyFill="1" applyBorder="1" applyAlignment="1" applyProtection="1">
      <alignment horizontal="center"/>
      <protection locked="0"/>
    </xf>
    <xf numFmtId="1" fontId="25" fillId="6" borderId="37" xfId="60" applyNumberFormat="1" applyFont="1" applyFill="1" applyBorder="1" applyAlignment="1" applyProtection="1">
      <alignment horizontal="center"/>
      <protection locked="0"/>
    </xf>
    <xf numFmtId="1" fontId="34" fillId="6" borderId="37" xfId="60" applyNumberFormat="1" applyFont="1" applyFill="1" applyBorder="1" applyAlignment="1" applyProtection="1">
      <alignment horizontal="center"/>
      <protection locked="0"/>
    </xf>
    <xf numFmtId="1" fontId="32" fillId="18" borderId="28" xfId="60" applyNumberFormat="1" applyFont="1" applyFill="1" applyBorder="1" applyAlignment="1" applyProtection="1">
      <alignment horizontal="center"/>
      <protection locked="0"/>
    </xf>
    <xf numFmtId="0" fontId="25" fillId="0" borderId="19" xfId="60" applyFont="1" applyFill="1" applyBorder="1" applyAlignment="1">
      <alignment horizontal="centerContinuous"/>
      <protection/>
    </xf>
    <xf numFmtId="0" fontId="25" fillId="0" borderId="0" xfId="60" applyFont="1" applyFill="1" applyBorder="1" applyAlignment="1">
      <alignment horizontal="centerContinuous"/>
      <protection/>
    </xf>
    <xf numFmtId="164" fontId="32" fillId="6" borderId="49" xfId="60" applyNumberFormat="1" applyFont="1" applyFill="1" applyBorder="1" applyAlignment="1" applyProtection="1">
      <alignment horizontal="center"/>
      <protection locked="0"/>
    </xf>
    <xf numFmtId="0" fontId="37" fillId="2" borderId="0" xfId="60" applyFont="1" applyFill="1" applyBorder="1" applyAlignment="1" applyProtection="1">
      <alignment horizontal="right"/>
      <protection locked="0"/>
    </xf>
    <xf numFmtId="164" fontId="25" fillId="0" borderId="28" xfId="60" applyNumberFormat="1" applyFont="1" applyFill="1" applyBorder="1" applyAlignment="1" applyProtection="1">
      <alignment horizontal="center"/>
      <protection locked="0"/>
    </xf>
    <xf numFmtId="0" fontId="44" fillId="0" borderId="0" xfId="60" applyFont="1" applyBorder="1" applyProtection="1">
      <alignment/>
      <protection locked="0"/>
    </xf>
    <xf numFmtId="0" fontId="25" fillId="0" borderId="19" xfId="60" applyFont="1" applyFill="1" applyBorder="1" applyAlignment="1" applyProtection="1">
      <alignment horizontal="center"/>
      <protection locked="0"/>
    </xf>
    <xf numFmtId="0" fontId="25" fillId="0" borderId="30" xfId="60" applyFont="1" applyBorder="1">
      <alignment/>
      <protection/>
    </xf>
    <xf numFmtId="1" fontId="25" fillId="2" borderId="54" xfId="60" applyNumberFormat="1" applyFont="1" applyFill="1" applyBorder="1" applyAlignment="1" applyProtection="1">
      <alignment horizontal="center"/>
      <protection locked="0"/>
    </xf>
    <xf numFmtId="1" fontId="32" fillId="9" borderId="28" xfId="60" applyNumberFormat="1" applyFont="1" applyFill="1" applyBorder="1" applyAlignment="1" applyProtection="1">
      <alignment horizontal="center"/>
      <protection locked="0"/>
    </xf>
    <xf numFmtId="164" fontId="25" fillId="20" borderId="18" xfId="60" applyNumberFormat="1" applyFont="1" applyFill="1" applyBorder="1" applyAlignment="1" applyProtection="1">
      <alignment horizontal="center"/>
      <protection locked="0"/>
    </xf>
    <xf numFmtId="0" fontId="25" fillId="20" borderId="0" xfId="60" applyFont="1" applyFill="1" applyBorder="1" applyAlignment="1" applyProtection="1">
      <alignment horizontal="right"/>
      <protection locked="0"/>
    </xf>
    <xf numFmtId="164" fontId="25" fillId="21" borderId="54" xfId="60" applyNumberFormat="1" applyFont="1" applyFill="1" applyBorder="1" applyAlignment="1" applyProtection="1">
      <alignment horizontal="center"/>
      <protection locked="0"/>
    </xf>
    <xf numFmtId="0" fontId="25" fillId="22" borderId="0" xfId="60" applyFont="1" applyFill="1" applyBorder="1" applyProtection="1">
      <alignment/>
      <protection locked="0"/>
    </xf>
    <xf numFmtId="0" fontId="34" fillId="20" borderId="0" xfId="60" applyFont="1" applyFill="1" applyBorder="1" applyProtection="1">
      <alignment/>
      <protection locked="0"/>
    </xf>
    <xf numFmtId="0" fontId="25" fillId="20" borderId="0" xfId="60" applyFont="1" applyFill="1" applyBorder="1" applyProtection="1">
      <alignment/>
      <protection locked="0"/>
    </xf>
    <xf numFmtId="9" fontId="33" fillId="20" borderId="19" xfId="60" applyNumberFormat="1" applyFont="1" applyFill="1" applyBorder="1" applyAlignment="1" applyProtection="1">
      <alignment horizontal="center"/>
      <protection locked="0"/>
    </xf>
    <xf numFmtId="9" fontId="33" fillId="20" borderId="0" xfId="60" applyNumberFormat="1" applyFont="1" applyFill="1" applyBorder="1" applyAlignment="1" applyProtection="1">
      <alignment horizontal="center"/>
      <protection locked="0"/>
    </xf>
    <xf numFmtId="9" fontId="33" fillId="0" borderId="19" xfId="60" applyNumberFormat="1" applyFont="1" applyFill="1" applyBorder="1" applyAlignment="1" applyProtection="1">
      <alignment horizontal="center"/>
      <protection locked="0"/>
    </xf>
    <xf numFmtId="9" fontId="25" fillId="0" borderId="30" xfId="64" applyFont="1" applyFill="1" applyBorder="1" applyAlignment="1" applyProtection="1">
      <alignment horizontal="center"/>
      <protection locked="0"/>
    </xf>
    <xf numFmtId="1" fontId="25" fillId="9" borderId="54" xfId="60" applyNumberFormat="1" applyFont="1" applyFill="1" applyBorder="1" applyAlignment="1" applyProtection="1">
      <alignment horizontal="center"/>
      <protection locked="0"/>
    </xf>
    <xf numFmtId="0" fontId="25" fillId="0" borderId="0" xfId="60" applyFont="1" applyAlignment="1" applyProtection="1">
      <alignment horizontal="center"/>
      <protection locked="0"/>
    </xf>
    <xf numFmtId="0" fontId="32" fillId="0" borderId="0" xfId="60" applyFont="1" applyAlignment="1" applyProtection="1">
      <alignment horizontal="right"/>
      <protection locked="0"/>
    </xf>
    <xf numFmtId="164" fontId="32" fillId="6" borderId="54" xfId="60" applyNumberFormat="1" applyFont="1" applyFill="1" applyBorder="1" applyAlignment="1" applyProtection="1">
      <alignment horizontal="center"/>
      <protection locked="0"/>
    </xf>
    <xf numFmtId="164" fontId="32" fillId="23" borderId="54" xfId="60" applyNumberFormat="1" applyFont="1" applyFill="1" applyBorder="1" applyProtection="1">
      <alignment/>
      <protection locked="0"/>
    </xf>
    <xf numFmtId="1" fontId="37" fillId="0" borderId="0" xfId="60" applyNumberFormat="1" applyFont="1" applyFill="1" applyBorder="1" applyAlignment="1" applyProtection="1">
      <alignment horizontal="right"/>
      <protection locked="0"/>
    </xf>
    <xf numFmtId="1" fontId="32" fillId="18" borderId="55" xfId="60" applyNumberFormat="1" applyFont="1" applyFill="1" applyBorder="1" applyAlignment="1" applyProtection="1">
      <alignment horizontal="center"/>
      <protection locked="0"/>
    </xf>
    <xf numFmtId="0" fontId="25" fillId="2" borderId="0" xfId="60" applyFont="1" applyFill="1" applyBorder="1" applyProtection="1">
      <alignment/>
      <protection locked="0"/>
    </xf>
    <xf numFmtId="0" fontId="25" fillId="2" borderId="19" xfId="60" applyFont="1" applyFill="1" applyBorder="1" applyProtection="1">
      <alignment/>
      <protection locked="0"/>
    </xf>
    <xf numFmtId="0" fontId="25" fillId="20" borderId="19" xfId="60" applyFont="1" applyFill="1" applyBorder="1" applyProtection="1">
      <alignment/>
      <protection locked="0"/>
    </xf>
    <xf numFmtId="1" fontId="32" fillId="18" borderId="54" xfId="60" applyNumberFormat="1" applyFont="1" applyFill="1" applyBorder="1" applyAlignment="1" applyProtection="1">
      <alignment horizontal="center"/>
      <protection locked="0"/>
    </xf>
    <xf numFmtId="164" fontId="32" fillId="2" borderId="54" xfId="60" applyNumberFormat="1" applyFont="1" applyFill="1" applyBorder="1" applyAlignment="1" applyProtection="1">
      <alignment horizontal="center"/>
      <protection locked="0"/>
    </xf>
    <xf numFmtId="164" fontId="25" fillId="0" borderId="18" xfId="60" applyNumberFormat="1" applyFont="1" applyFill="1" applyBorder="1" applyAlignment="1" applyProtection="1">
      <alignment horizontal="center"/>
      <protection locked="0"/>
    </xf>
    <xf numFmtId="164" fontId="25" fillId="0" borderId="0" xfId="60" applyNumberFormat="1" applyFont="1" applyFill="1" applyBorder="1" applyAlignment="1" applyProtection="1">
      <alignment horizontal="center"/>
      <protection locked="0"/>
    </xf>
    <xf numFmtId="9" fontId="25" fillId="0" borderId="19" xfId="60" applyNumberFormat="1" applyFont="1" applyFill="1" applyBorder="1" applyAlignment="1">
      <alignment horizontal="center"/>
      <protection/>
    </xf>
    <xf numFmtId="9" fontId="25" fillId="0" borderId="0" xfId="60" applyNumberFormat="1" applyFont="1" applyFill="1" applyBorder="1" applyAlignment="1">
      <alignment horizontal="center"/>
      <protection/>
    </xf>
    <xf numFmtId="1" fontId="32" fillId="2" borderId="54" xfId="60" applyNumberFormat="1" applyFont="1" applyFill="1" applyBorder="1" applyAlignment="1" applyProtection="1">
      <alignment horizontal="center"/>
      <protection locked="0"/>
    </xf>
    <xf numFmtId="9" fontId="33" fillId="0" borderId="0" xfId="60" applyNumberFormat="1" applyFont="1" applyFill="1" applyBorder="1" applyAlignment="1" applyProtection="1">
      <alignment horizontal="center"/>
      <protection locked="0"/>
    </xf>
    <xf numFmtId="0" fontId="25" fillId="2" borderId="0" xfId="60" applyFont="1" applyFill="1" applyBorder="1" applyAlignment="1" applyProtection="1">
      <alignment horizontal="right"/>
      <protection locked="0"/>
    </xf>
    <xf numFmtId="164" fontId="32" fillId="18" borderId="54" xfId="60" applyNumberFormat="1" applyFont="1" applyFill="1" applyBorder="1" applyAlignment="1" applyProtection="1">
      <alignment horizontal="center"/>
      <protection locked="0"/>
    </xf>
    <xf numFmtId="0" fontId="25" fillId="0" borderId="0" xfId="60" applyFont="1" applyAlignment="1">
      <alignment horizontal="center"/>
      <protection/>
    </xf>
    <xf numFmtId="1" fontId="32" fillId="19" borderId="28" xfId="60" applyNumberFormat="1" applyFont="1" applyFill="1" applyBorder="1" applyAlignment="1" applyProtection="1">
      <alignment horizontal="center"/>
      <protection locked="0"/>
    </xf>
    <xf numFmtId="0" fontId="25" fillId="0" borderId="0" xfId="60" applyFont="1" applyFill="1" applyBorder="1" applyAlignment="1">
      <alignment horizontal="right"/>
      <protection/>
    </xf>
    <xf numFmtId="0" fontId="25" fillId="0" borderId="19" xfId="60" applyFont="1" applyFill="1" applyBorder="1" applyAlignment="1">
      <alignment horizontal="center"/>
      <protection/>
    </xf>
    <xf numFmtId="0" fontId="25" fillId="0" borderId="0" xfId="60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168" fontId="25" fillId="0" borderId="0" xfId="45" applyNumberFormat="1" applyFont="1" applyFill="1" applyBorder="1" applyAlignment="1" applyProtection="1">
      <alignment horizontal="center"/>
      <protection locked="0"/>
    </xf>
    <xf numFmtId="22" fontId="25" fillId="0" borderId="0" xfId="60" applyNumberFormat="1" applyFont="1" applyFill="1" applyBorder="1" applyProtection="1">
      <alignment/>
      <protection locked="0"/>
    </xf>
    <xf numFmtId="0" fontId="25" fillId="0" borderId="0" xfId="60" applyFont="1" applyAlignment="1">
      <alignment horizontal="right"/>
      <protection/>
    </xf>
    <xf numFmtId="164" fontId="25" fillId="18" borderId="0" xfId="60" applyNumberFormat="1" applyFont="1" applyFill="1" applyAlignment="1">
      <alignment horizontal="center"/>
      <protection/>
    </xf>
    <xf numFmtId="0" fontId="25" fillId="0" borderId="18" xfId="60" applyFont="1" applyFill="1" applyBorder="1" applyAlignment="1">
      <alignment horizontal="right"/>
      <protection/>
    </xf>
    <xf numFmtId="0" fontId="32" fillId="0" borderId="18" xfId="60" applyFont="1" applyFill="1" applyBorder="1" applyAlignment="1" applyProtection="1">
      <alignment vertical="center"/>
      <protection locked="0"/>
    </xf>
    <xf numFmtId="0" fontId="32" fillId="0" borderId="0" xfId="60" applyFont="1" applyFill="1" applyBorder="1" applyAlignment="1" applyProtection="1">
      <alignment vertical="center"/>
      <protection locked="0"/>
    </xf>
    <xf numFmtId="0" fontId="31" fillId="0" borderId="0" xfId="60" applyFont="1" applyFill="1" applyBorder="1" applyAlignment="1" applyProtection="1">
      <alignment horizontal="right" vertical="center"/>
      <protection locked="0"/>
    </xf>
    <xf numFmtId="0" fontId="31" fillId="2" borderId="0" xfId="60" applyFont="1" applyFill="1" applyBorder="1" applyAlignment="1" applyProtection="1">
      <alignment horizontal="right" vertical="center"/>
      <protection locked="0"/>
    </xf>
    <xf numFmtId="164" fontId="32" fillId="18" borderId="28" xfId="60" applyNumberFormat="1" applyFont="1" applyFill="1" applyBorder="1" applyAlignment="1" applyProtection="1">
      <alignment horizontal="center" vertical="center"/>
      <protection locked="0"/>
    </xf>
    <xf numFmtId="164" fontId="25" fillId="0" borderId="16" xfId="60" applyNumberFormat="1" applyFont="1" applyFill="1" applyBorder="1" applyAlignment="1" applyProtection="1">
      <alignment horizontal="left" vertical="center"/>
      <protection locked="0"/>
    </xf>
    <xf numFmtId="0" fontId="25" fillId="0" borderId="16" xfId="60" applyFont="1" applyFill="1" applyBorder="1" applyAlignment="1" applyProtection="1">
      <alignment horizontal="right" vertical="center"/>
      <protection locked="0"/>
    </xf>
    <xf numFmtId="0" fontId="25" fillId="0" borderId="17" xfId="60" applyFont="1" applyFill="1" applyBorder="1" applyAlignment="1" applyProtection="1">
      <alignment horizontal="center" vertical="center"/>
      <protection locked="0"/>
    </xf>
    <xf numFmtId="0" fontId="25" fillId="0" borderId="19" xfId="60" applyFont="1" applyFill="1" applyBorder="1" applyAlignment="1" applyProtection="1">
      <alignment horizontal="center" vertical="center"/>
      <protection locked="0"/>
    </xf>
    <xf numFmtId="0" fontId="25" fillId="0" borderId="0" xfId="60" applyFont="1" applyFill="1" applyBorder="1" applyAlignment="1" applyProtection="1">
      <alignment horizontal="center" vertical="center"/>
      <protection locked="0"/>
    </xf>
    <xf numFmtId="0" fontId="34" fillId="0" borderId="0" xfId="60" applyFont="1" applyFill="1" applyBorder="1" applyAlignment="1" applyProtection="1">
      <alignment vertical="center"/>
      <protection locked="0"/>
    </xf>
    <xf numFmtId="0" fontId="25" fillId="0" borderId="0" xfId="60" applyFont="1" applyFill="1" applyBorder="1" applyAlignment="1" applyProtection="1">
      <alignment horizontal="right" vertical="center"/>
      <protection locked="0"/>
    </xf>
    <xf numFmtId="168" fontId="32" fillId="0" borderId="0" xfId="45" applyNumberFormat="1" applyFont="1" applyFill="1" applyBorder="1" applyAlignment="1" applyProtection="1">
      <alignment horizontal="center" vertical="center"/>
      <protection locked="0"/>
    </xf>
    <xf numFmtId="166" fontId="32" fillId="0" borderId="0" xfId="60" applyNumberFormat="1" applyFont="1" applyFill="1" applyBorder="1" applyAlignment="1" applyProtection="1">
      <alignment horizontal="center" vertical="center"/>
      <protection locked="0"/>
    </xf>
    <xf numFmtId="0" fontId="25" fillId="0" borderId="0" xfId="60" applyFont="1" applyAlignment="1" applyProtection="1">
      <alignment vertical="center"/>
      <protection locked="0"/>
    </xf>
    <xf numFmtId="0" fontId="25" fillId="0" borderId="0" xfId="60" applyFont="1" applyBorder="1" applyAlignment="1">
      <alignment vertical="center"/>
      <protection/>
    </xf>
    <xf numFmtId="0" fontId="25" fillId="0" borderId="0" xfId="60" applyFont="1" applyAlignment="1">
      <alignment vertical="center"/>
      <protection/>
    </xf>
    <xf numFmtId="164" fontId="25" fillId="18" borderId="0" xfId="60" applyNumberFormat="1" applyFont="1" applyFill="1" applyAlignment="1">
      <alignment horizontal="center" vertical="center"/>
      <protection/>
    </xf>
    <xf numFmtId="0" fontId="25" fillId="0" borderId="0" xfId="60" applyFont="1" applyAlignment="1" applyProtection="1">
      <alignment horizontal="center" vertical="center"/>
      <protection locked="0"/>
    </xf>
    <xf numFmtId="0" fontId="32" fillId="0" borderId="21" xfId="60" applyFont="1" applyFill="1" applyBorder="1" applyProtection="1">
      <alignment/>
      <protection locked="0"/>
    </xf>
    <xf numFmtId="0" fontId="32" fillId="0" borderId="3" xfId="60" applyFont="1" applyFill="1" applyBorder="1" applyProtection="1">
      <alignment/>
      <protection locked="0"/>
    </xf>
    <xf numFmtId="0" fontId="31" fillId="0" borderId="3" xfId="60" applyFont="1" applyFill="1" applyBorder="1" applyAlignment="1" applyProtection="1">
      <alignment horizontal="right"/>
      <protection locked="0"/>
    </xf>
    <xf numFmtId="0" fontId="31" fillId="2" borderId="3" xfId="60" applyFont="1" applyFill="1" applyBorder="1" applyAlignment="1" applyProtection="1">
      <alignment horizontal="right"/>
      <protection locked="0"/>
    </xf>
    <xf numFmtId="9" fontId="32" fillId="18" borderId="56" xfId="60" applyNumberFormat="1" applyFont="1" applyFill="1" applyBorder="1" applyAlignment="1" applyProtection="1">
      <alignment horizontal="center"/>
      <protection locked="0"/>
    </xf>
    <xf numFmtId="164" fontId="25" fillId="0" borderId="3" xfId="60" applyNumberFormat="1" applyFont="1" applyFill="1" applyBorder="1" applyAlignment="1" applyProtection="1">
      <alignment horizontal="left"/>
      <protection locked="0"/>
    </xf>
    <xf numFmtId="164" fontId="25" fillId="0" borderId="3" xfId="60" applyNumberFormat="1" applyFont="1" applyFill="1" applyBorder="1" applyAlignment="1" applyProtection="1">
      <alignment horizontal="center"/>
      <protection locked="0"/>
    </xf>
    <xf numFmtId="164" fontId="25" fillId="0" borderId="22" xfId="60" applyNumberFormat="1" applyFont="1" applyFill="1" applyBorder="1" applyAlignment="1" applyProtection="1">
      <alignment horizontal="center"/>
      <protection locked="0"/>
    </xf>
    <xf numFmtId="0" fontId="25" fillId="0" borderId="16" xfId="60" applyFont="1" applyFill="1" applyBorder="1" applyProtection="1">
      <alignment/>
      <protection locked="0"/>
    </xf>
    <xf numFmtId="0" fontId="25" fillId="0" borderId="0" xfId="60" applyFont="1" applyAlignment="1" applyProtection="1">
      <alignment/>
      <protection locked="0"/>
    </xf>
    <xf numFmtId="0" fontId="25" fillId="0" borderId="0" xfId="60" applyFont="1" applyBorder="1" applyAlignment="1">
      <alignment/>
      <protection/>
    </xf>
    <xf numFmtId="0" fontId="25" fillId="0" borderId="0" xfId="60" applyFont="1" applyAlignment="1">
      <alignment/>
      <protection/>
    </xf>
    <xf numFmtId="0" fontId="25" fillId="0" borderId="57" xfId="60" applyFont="1" applyBorder="1" applyAlignment="1">
      <alignment horizontal="right" vertical="center"/>
      <protection/>
    </xf>
    <xf numFmtId="164" fontId="25" fillId="18" borderId="57" xfId="60" applyNumberFormat="1" applyFont="1" applyFill="1" applyBorder="1" applyAlignment="1">
      <alignment horizontal="center" vertical="center"/>
      <protection/>
    </xf>
    <xf numFmtId="164" fontId="25" fillId="18" borderId="57" xfId="60" applyNumberFormat="1" applyFont="1" applyFill="1" applyBorder="1" applyAlignment="1">
      <alignment horizontal="center"/>
      <protection/>
    </xf>
    <xf numFmtId="0" fontId="32" fillId="7" borderId="58" xfId="60" applyNumberFormat="1" applyFont="1" applyFill="1" applyBorder="1" applyAlignment="1" applyProtection="1">
      <alignment/>
      <protection locked="0"/>
    </xf>
    <xf numFmtId="0" fontId="32" fillId="7" borderId="59" xfId="60" applyNumberFormat="1" applyFont="1" applyFill="1" applyBorder="1" applyAlignment="1" applyProtection="1">
      <alignment/>
      <protection locked="0"/>
    </xf>
    <xf numFmtId="0" fontId="32" fillId="7" borderId="60" xfId="60" applyNumberFormat="1" applyFont="1" applyFill="1" applyBorder="1" applyAlignment="1" applyProtection="1">
      <alignment/>
      <protection locked="0"/>
    </xf>
    <xf numFmtId="0" fontId="32" fillId="7" borderId="12" xfId="60" applyFont="1" applyFill="1" applyBorder="1" applyProtection="1">
      <alignment/>
      <protection locked="0"/>
    </xf>
    <xf numFmtId="0" fontId="32" fillId="7" borderId="13" xfId="60" applyFont="1" applyFill="1" applyBorder="1" applyAlignment="1" applyProtection="1">
      <alignment horizontal="left"/>
      <protection locked="0"/>
    </xf>
    <xf numFmtId="0" fontId="35" fillId="7" borderId="13" xfId="60" applyFont="1" applyFill="1" applyBorder="1" applyAlignment="1">
      <alignment horizontal="centerContinuous"/>
      <protection/>
    </xf>
    <xf numFmtId="0" fontId="25" fillId="7" borderId="13" xfId="60" applyFont="1" applyFill="1" applyBorder="1" applyAlignment="1" applyProtection="1">
      <alignment/>
      <protection locked="0"/>
    </xf>
    <xf numFmtId="0" fontId="25" fillId="7" borderId="14" xfId="60" applyFont="1" applyFill="1" applyBorder="1" applyAlignment="1" applyProtection="1">
      <alignment/>
      <protection locked="0"/>
    </xf>
    <xf numFmtId="0" fontId="35" fillId="7" borderId="12" xfId="60" applyFont="1" applyFill="1" applyBorder="1" applyAlignment="1" applyProtection="1">
      <alignment/>
      <protection locked="0"/>
    </xf>
    <xf numFmtId="0" fontId="35" fillId="7" borderId="13" xfId="60" applyFont="1" applyFill="1" applyBorder="1" applyAlignment="1" applyProtection="1">
      <alignment/>
      <protection locked="0"/>
    </xf>
    <xf numFmtId="0" fontId="32" fillId="7" borderId="14" xfId="60" applyFont="1" applyFill="1" applyBorder="1" applyAlignment="1" applyProtection="1">
      <alignment horizontal="right"/>
      <protection locked="0"/>
    </xf>
    <xf numFmtId="0" fontId="25" fillId="9" borderId="29" xfId="60" applyNumberFormat="1" applyFont="1" applyFill="1" applyBorder="1" applyAlignment="1" applyProtection="1">
      <alignment horizontal="center"/>
      <protection locked="0"/>
    </xf>
    <xf numFmtId="0" fontId="25" fillId="0" borderId="0" xfId="60" applyNumberFormat="1" applyFont="1" applyBorder="1" applyProtection="1">
      <alignment/>
      <protection locked="0"/>
    </xf>
    <xf numFmtId="0" fontId="31" fillId="7" borderId="12" xfId="60" applyFont="1" applyFill="1" applyBorder="1" applyAlignment="1" applyProtection="1">
      <alignment horizontal="left"/>
      <protection locked="0"/>
    </xf>
    <xf numFmtId="0" fontId="32" fillId="7" borderId="13" xfId="60" applyFont="1" applyFill="1" applyBorder="1">
      <alignment/>
      <protection/>
    </xf>
    <xf numFmtId="0" fontId="25" fillId="0" borderId="18" xfId="60" applyFont="1" applyBorder="1" applyProtection="1">
      <alignment/>
      <protection locked="0"/>
    </xf>
    <xf numFmtId="9" fontId="25" fillId="9" borderId="0" xfId="60" applyNumberFormat="1" applyFont="1" applyFill="1" applyBorder="1" applyAlignment="1" applyProtection="1">
      <alignment horizontal="center"/>
      <protection locked="0"/>
    </xf>
    <xf numFmtId="0" fontId="32" fillId="0" borderId="19" xfId="60" applyFont="1" applyBorder="1" applyProtection="1">
      <alignment/>
      <protection locked="0"/>
    </xf>
    <xf numFmtId="0" fontId="25" fillId="6" borderId="29" xfId="60" applyNumberFormat="1" applyFont="1" applyFill="1" applyBorder="1" applyAlignment="1" applyProtection="1">
      <alignment horizontal="center"/>
      <protection locked="0"/>
    </xf>
    <xf numFmtId="0" fontId="31" fillId="7" borderId="15" xfId="60" applyFont="1" applyFill="1" applyBorder="1" applyAlignment="1" applyProtection="1">
      <alignment horizontal="left"/>
      <protection locked="0"/>
    </xf>
    <xf numFmtId="0" fontId="32" fillId="7" borderId="16" xfId="60" applyFont="1" applyFill="1" applyBorder="1">
      <alignment/>
      <protection/>
    </xf>
    <xf numFmtId="0" fontId="31" fillId="7" borderId="16" xfId="60" applyFont="1" applyFill="1" applyBorder="1" applyAlignment="1" applyProtection="1">
      <alignment horizontal="center"/>
      <protection locked="0"/>
    </xf>
    <xf numFmtId="0" fontId="31" fillId="7" borderId="17" xfId="60" applyFont="1" applyFill="1" applyBorder="1" applyAlignment="1" applyProtection="1">
      <alignment horizontal="center"/>
      <protection locked="0"/>
    </xf>
    <xf numFmtId="0" fontId="25" fillId="8" borderId="29" xfId="60" applyNumberFormat="1" applyFont="1" applyFill="1" applyBorder="1" applyAlignment="1" applyProtection="1">
      <alignment horizontal="center"/>
      <protection locked="0"/>
    </xf>
    <xf numFmtId="9" fontId="33" fillId="6" borderId="13" xfId="60" applyNumberFormat="1" applyFont="1" applyFill="1" applyBorder="1" applyAlignment="1" applyProtection="1">
      <alignment horizontal="center"/>
      <protection locked="0"/>
    </xf>
    <xf numFmtId="9" fontId="45" fillId="7" borderId="14" xfId="60" applyNumberFormat="1" applyFont="1" applyFill="1" applyBorder="1" applyAlignment="1" applyProtection="1">
      <alignment horizontal="center"/>
      <protection locked="0"/>
    </xf>
    <xf numFmtId="0" fontId="25" fillId="0" borderId="15" xfId="60" applyFont="1" applyBorder="1" applyProtection="1">
      <alignment/>
      <protection locked="0"/>
    </xf>
    <xf numFmtId="9" fontId="25" fillId="9" borderId="16" xfId="60" applyNumberFormat="1" applyFont="1" applyFill="1" applyBorder="1" applyAlignment="1" applyProtection="1">
      <alignment horizontal="center"/>
      <protection locked="0"/>
    </xf>
    <xf numFmtId="0" fontId="32" fillId="0" borderId="17" xfId="60" applyFont="1" applyBorder="1" applyProtection="1">
      <alignment/>
      <protection locked="0"/>
    </xf>
    <xf numFmtId="0" fontId="25" fillId="18" borderId="44" xfId="60" applyNumberFormat="1" applyFont="1" applyFill="1" applyBorder="1" applyAlignment="1" applyProtection="1">
      <alignment horizontal="center"/>
      <protection locked="0"/>
    </xf>
    <xf numFmtId="0" fontId="25" fillId="0" borderId="16" xfId="60" applyNumberFormat="1" applyFont="1" applyBorder="1" applyProtection="1">
      <alignment/>
      <protection locked="0"/>
    </xf>
    <xf numFmtId="9" fontId="25" fillId="6" borderId="0" xfId="60" applyNumberFormat="1" applyFont="1" applyFill="1" applyBorder="1" applyAlignment="1">
      <alignment horizontal="center"/>
      <protection/>
    </xf>
    <xf numFmtId="9" fontId="45" fillId="7" borderId="19" xfId="60" applyNumberFormat="1" applyFont="1" applyFill="1" applyBorder="1" applyAlignment="1" applyProtection="1">
      <alignment horizontal="center"/>
      <protection locked="0"/>
    </xf>
    <xf numFmtId="9" fontId="45" fillId="2" borderId="19" xfId="60" applyNumberFormat="1" applyFont="1" applyFill="1" applyBorder="1" applyAlignment="1" applyProtection="1">
      <alignment horizontal="center"/>
      <protection locked="0"/>
    </xf>
    <xf numFmtId="9" fontId="25" fillId="2" borderId="0" xfId="60" applyNumberFormat="1" applyFont="1" applyFill="1" applyBorder="1" applyAlignment="1">
      <alignment horizontal="center"/>
      <protection/>
    </xf>
    <xf numFmtId="0" fontId="25" fillId="2" borderId="0" xfId="60" applyNumberFormat="1" applyFont="1" applyFill="1" applyBorder="1" applyAlignment="1" applyProtection="1">
      <alignment horizontal="center"/>
      <protection locked="0"/>
    </xf>
    <xf numFmtId="9" fontId="33" fillId="6" borderId="0" xfId="60" applyNumberFormat="1" applyFont="1" applyFill="1" applyBorder="1" applyAlignment="1" applyProtection="1">
      <alignment horizontal="center"/>
      <protection locked="0"/>
    </xf>
    <xf numFmtId="0" fontId="37" fillId="0" borderId="0" xfId="60" applyFont="1" applyBorder="1" applyAlignment="1" applyProtection="1">
      <alignment/>
      <protection locked="0"/>
    </xf>
    <xf numFmtId="0" fontId="25" fillId="0" borderId="15" xfId="60" applyFont="1" applyFill="1" applyBorder="1" applyProtection="1">
      <alignment/>
      <protection locked="0"/>
    </xf>
    <xf numFmtId="0" fontId="25" fillId="0" borderId="16" xfId="60" applyFont="1" applyFill="1" applyBorder="1" applyAlignment="1" applyProtection="1">
      <alignment horizontal="right"/>
      <protection locked="0"/>
    </xf>
    <xf numFmtId="9" fontId="33" fillId="6" borderId="16" xfId="60" applyNumberFormat="1" applyFont="1" applyFill="1" applyBorder="1" applyAlignment="1" applyProtection="1">
      <alignment horizontal="center"/>
      <protection locked="0"/>
    </xf>
    <xf numFmtId="9" fontId="45" fillId="7" borderId="17" xfId="60" applyNumberFormat="1" applyFont="1" applyFill="1" applyBorder="1" applyAlignment="1" applyProtection="1">
      <alignment horizontal="center"/>
      <protection locked="0"/>
    </xf>
    <xf numFmtId="9" fontId="33" fillId="2" borderId="16" xfId="60" applyNumberFormat="1" applyFont="1" applyFill="1" applyBorder="1" applyAlignment="1" applyProtection="1">
      <alignment horizontal="center"/>
      <protection locked="0"/>
    </xf>
    <xf numFmtId="9" fontId="33" fillId="2" borderId="17" xfId="60" applyNumberFormat="1" applyFont="1" applyFill="1" applyBorder="1" applyAlignment="1" applyProtection="1">
      <alignment horizontal="center"/>
      <protection locked="0"/>
    </xf>
    <xf numFmtId="0" fontId="32" fillId="7" borderId="12" xfId="60" applyFont="1" applyFill="1" applyBorder="1" applyAlignment="1" applyProtection="1">
      <alignment/>
      <protection locked="0"/>
    </xf>
    <xf numFmtId="0" fontId="25" fillId="6" borderId="18" xfId="60" applyFont="1" applyFill="1" applyBorder="1" applyAlignment="1" applyProtection="1">
      <alignment/>
      <protection locked="0"/>
    </xf>
    <xf numFmtId="0" fontId="25" fillId="6" borderId="0" xfId="60" applyFont="1" applyFill="1" applyBorder="1" applyAlignment="1" applyProtection="1">
      <alignment horizontal="right"/>
      <protection locked="0"/>
    </xf>
    <xf numFmtId="164" fontId="25" fillId="18" borderId="0" xfId="60" applyNumberFormat="1" applyFont="1" applyFill="1" applyBorder="1" applyAlignment="1" applyProtection="1">
      <alignment horizontal="center"/>
      <protection locked="0"/>
    </xf>
    <xf numFmtId="0" fontId="25" fillId="0" borderId="19" xfId="60" applyFont="1" applyBorder="1" applyAlignment="1" applyProtection="1">
      <alignment/>
      <protection locked="0"/>
    </xf>
    <xf numFmtId="0" fontId="32" fillId="7" borderId="16" xfId="60" applyFont="1" applyFill="1" applyBorder="1" applyProtection="1">
      <alignment/>
      <protection locked="0"/>
    </xf>
    <xf numFmtId="0" fontId="32" fillId="7" borderId="17" xfId="60" applyFont="1" applyFill="1" applyBorder="1" applyAlignment="1" applyProtection="1">
      <alignment/>
      <protection locked="0"/>
    </xf>
    <xf numFmtId="0" fontId="25" fillId="18" borderId="0" xfId="60" applyFont="1" applyFill="1" applyBorder="1" applyAlignment="1" applyProtection="1">
      <alignment horizontal="center"/>
      <protection locked="0"/>
    </xf>
    <xf numFmtId="1" fontId="33" fillId="18" borderId="13" xfId="60" applyNumberFormat="1" applyFont="1" applyFill="1" applyBorder="1" applyAlignment="1" applyProtection="1">
      <alignment horizontal="center"/>
      <protection locked="0"/>
    </xf>
    <xf numFmtId="9" fontId="34" fillId="0" borderId="13" xfId="60" applyNumberFormat="1" applyFont="1" applyFill="1" applyBorder="1" applyAlignment="1" applyProtection="1">
      <alignment horizontal="left"/>
      <protection locked="0"/>
    </xf>
    <xf numFmtId="0" fontId="25" fillId="0" borderId="14" xfId="60" applyFont="1" applyBorder="1" applyAlignment="1" applyProtection="1">
      <alignment/>
      <protection locked="0"/>
    </xf>
    <xf numFmtId="1" fontId="25" fillId="18" borderId="0" xfId="60" applyNumberFormat="1" applyFont="1" applyFill="1" applyBorder="1" applyAlignment="1">
      <alignment horizontal="center"/>
      <protection/>
    </xf>
    <xf numFmtId="0" fontId="32" fillId="0" borderId="15" xfId="60" applyFont="1" applyFill="1" applyBorder="1" applyProtection="1">
      <alignment/>
      <protection locked="0"/>
    </xf>
    <xf numFmtId="0" fontId="32" fillId="0" borderId="16" xfId="60" applyFont="1" applyFill="1" applyBorder="1" applyProtection="1">
      <alignment/>
      <protection locked="0"/>
    </xf>
    <xf numFmtId="0" fontId="32" fillId="0" borderId="16" xfId="60" applyFont="1" applyFill="1" applyBorder="1" applyAlignment="1" applyProtection="1">
      <alignment horizontal="right"/>
      <protection locked="0"/>
    </xf>
    <xf numFmtId="1" fontId="46" fillId="18" borderId="16" xfId="60" applyNumberFormat="1" applyFont="1" applyFill="1" applyBorder="1" applyAlignment="1" applyProtection="1">
      <alignment horizontal="center"/>
      <protection locked="0"/>
    </xf>
    <xf numFmtId="9" fontId="46" fillId="18" borderId="16" xfId="60" applyNumberFormat="1" applyFont="1" applyFill="1" applyBorder="1" applyAlignment="1" applyProtection="1">
      <alignment horizontal="center"/>
      <protection locked="0"/>
    </xf>
    <xf numFmtId="0" fontId="25" fillId="0" borderId="17" xfId="60" applyFont="1" applyBorder="1" applyAlignment="1" applyProtection="1">
      <alignment/>
      <protection locked="0"/>
    </xf>
    <xf numFmtId="0" fontId="25" fillId="6" borderId="15" xfId="60" applyFont="1" applyFill="1" applyBorder="1" applyAlignment="1" applyProtection="1">
      <alignment/>
      <protection locked="0"/>
    </xf>
    <xf numFmtId="0" fontId="25" fillId="6" borderId="16" xfId="60" applyFont="1" applyFill="1" applyBorder="1" applyAlignment="1" applyProtection="1">
      <alignment horizontal="right"/>
      <protection locked="0"/>
    </xf>
    <xf numFmtId="0" fontId="25" fillId="18" borderId="16" xfId="60" applyFont="1" applyFill="1" applyBorder="1" applyAlignment="1" applyProtection="1">
      <alignment horizontal="center"/>
      <protection locked="0"/>
    </xf>
    <xf numFmtId="0" fontId="32" fillId="7" borderId="21" xfId="60" applyFont="1" applyFill="1" applyBorder="1" applyAlignment="1" applyProtection="1">
      <alignment/>
      <protection locked="0"/>
    </xf>
    <xf numFmtId="0" fontId="25" fillId="7" borderId="3" xfId="60" applyFont="1" applyFill="1" applyBorder="1" applyAlignment="1" applyProtection="1">
      <alignment/>
      <protection locked="0"/>
    </xf>
    <xf numFmtId="0" fontId="25" fillId="7" borderId="22" xfId="60" applyFont="1" applyFill="1" applyBorder="1" applyProtection="1">
      <alignment/>
      <protection locked="0"/>
    </xf>
    <xf numFmtId="0" fontId="25" fillId="0" borderId="29" xfId="60" applyFont="1" applyBorder="1" applyAlignment="1" applyProtection="1">
      <alignment horizontal="center"/>
      <protection locked="0"/>
    </xf>
    <xf numFmtId="0" fontId="25" fillId="0" borderId="30" xfId="60" applyFont="1" applyBorder="1" applyAlignment="1" applyProtection="1">
      <alignment horizontal="center"/>
      <protection locked="0"/>
    </xf>
    <xf numFmtId="0" fontId="25" fillId="0" borderId="31" xfId="60" applyFont="1" applyBorder="1" applyAlignment="1" applyProtection="1">
      <alignment horizontal="center"/>
      <protection locked="0"/>
    </xf>
    <xf numFmtId="0" fontId="25" fillId="0" borderId="32" xfId="60" applyFont="1" applyBorder="1" applyAlignment="1" applyProtection="1">
      <alignment horizontal="center"/>
      <protection locked="0"/>
    </xf>
    <xf numFmtId="0" fontId="25" fillId="0" borderId="28" xfId="60" applyFont="1" applyBorder="1" applyAlignment="1" applyProtection="1">
      <alignment horizontal="center"/>
      <protection locked="0"/>
    </xf>
    <xf numFmtId="0" fontId="32" fillId="0" borderId="47" xfId="60" applyFont="1" applyBorder="1" applyAlignment="1" applyProtection="1">
      <alignment horizontal="center"/>
      <protection locked="0"/>
    </xf>
    <xf numFmtId="0" fontId="32" fillId="0" borderId="0" xfId="60" applyFont="1" applyProtection="1">
      <alignment/>
      <protection locked="0"/>
    </xf>
    <xf numFmtId="0" fontId="41" fillId="0" borderId="0" xfId="60" applyFont="1" applyAlignment="1" applyProtection="1">
      <alignment horizontal="center"/>
      <protection locked="0"/>
    </xf>
    <xf numFmtId="0" fontId="25" fillId="0" borderId="57" xfId="60" applyFont="1" applyBorder="1" applyAlignment="1" applyProtection="1">
      <alignment/>
      <protection locked="0"/>
    </xf>
    <xf numFmtId="0" fontId="25" fillId="0" borderId="57" xfId="60" applyFont="1" applyBorder="1" applyProtection="1">
      <alignment/>
      <protection locked="0"/>
    </xf>
    <xf numFmtId="1" fontId="25" fillId="18" borderId="48" xfId="60" applyNumberFormat="1" applyFont="1" applyFill="1" applyBorder="1" applyAlignment="1" applyProtection="1">
      <alignment horizontal="center"/>
      <protection locked="0"/>
    </xf>
    <xf numFmtId="9" fontId="25" fillId="18" borderId="49" xfId="60" applyNumberFormat="1" applyFont="1" applyFill="1" applyBorder="1" applyAlignment="1" applyProtection="1">
      <alignment horizontal="center"/>
      <protection locked="0"/>
    </xf>
    <xf numFmtId="1" fontId="25" fillId="18" borderId="50" xfId="60" applyNumberFormat="1" applyFont="1" applyFill="1" applyBorder="1" applyAlignment="1" applyProtection="1">
      <alignment horizontal="center"/>
      <protection locked="0"/>
    </xf>
    <xf numFmtId="1" fontId="25" fillId="9" borderId="61" xfId="60" applyNumberFormat="1" applyFont="1" applyFill="1" applyBorder="1" applyAlignment="1" applyProtection="1">
      <alignment horizontal="center"/>
      <protection locked="0"/>
    </xf>
    <xf numFmtId="1" fontId="25" fillId="18" borderId="62" xfId="60" applyNumberFormat="1" applyFont="1" applyFill="1" applyBorder="1" applyAlignment="1" applyProtection="1">
      <alignment horizontal="center"/>
      <protection locked="0"/>
    </xf>
    <xf numFmtId="0" fontId="32" fillId="18" borderId="63" xfId="60" applyFont="1" applyFill="1" applyBorder="1" applyAlignment="1" applyProtection="1">
      <alignment horizontal="center"/>
      <protection locked="0"/>
    </xf>
    <xf numFmtId="0" fontId="25" fillId="0" borderId="64" xfId="60" applyFont="1" applyBorder="1" applyAlignment="1" applyProtection="1">
      <alignment horizontal="left"/>
      <protection locked="0"/>
    </xf>
    <xf numFmtId="0" fontId="25" fillId="0" borderId="65" xfId="60" applyFont="1" applyBorder="1" applyAlignment="1" applyProtection="1">
      <alignment horizontal="left"/>
      <protection locked="0"/>
    </xf>
    <xf numFmtId="0" fontId="25" fillId="0" borderId="66" xfId="60" applyFont="1" applyBorder="1" applyAlignment="1" applyProtection="1">
      <alignment horizontal="left"/>
      <protection locked="0"/>
    </xf>
    <xf numFmtId="1" fontId="25" fillId="9" borderId="67" xfId="60" applyNumberFormat="1" applyFont="1" applyFill="1" applyBorder="1" applyAlignment="1" applyProtection="1">
      <alignment horizontal="center"/>
      <protection locked="0"/>
    </xf>
    <xf numFmtId="9" fontId="25" fillId="9" borderId="67" xfId="60" applyNumberFormat="1" applyFont="1" applyFill="1" applyBorder="1" applyAlignment="1" applyProtection="1">
      <alignment horizontal="center"/>
      <protection locked="0"/>
    </xf>
    <xf numFmtId="0" fontId="25" fillId="0" borderId="68" xfId="60" applyFont="1" applyBorder="1" applyProtection="1">
      <alignment/>
      <protection locked="0"/>
    </xf>
    <xf numFmtId="0" fontId="25" fillId="0" borderId="69" xfId="60" applyFont="1" applyBorder="1" applyAlignment="1" applyProtection="1">
      <alignment/>
      <protection locked="0"/>
    </xf>
    <xf numFmtId="0" fontId="25" fillId="0" borderId="69" xfId="60" applyFont="1" applyBorder="1" applyProtection="1">
      <alignment/>
      <protection locked="0"/>
    </xf>
    <xf numFmtId="1" fontId="25" fillId="9" borderId="70" xfId="60" applyNumberFormat="1" applyFont="1" applyFill="1" applyBorder="1" applyAlignment="1" applyProtection="1">
      <alignment horizontal="center"/>
      <protection locked="0"/>
    </xf>
    <xf numFmtId="9" fontId="25" fillId="9" borderId="71" xfId="60" applyNumberFormat="1" applyFont="1" applyFill="1" applyBorder="1" applyAlignment="1" applyProtection="1">
      <alignment horizontal="center"/>
      <protection locked="0"/>
    </xf>
    <xf numFmtId="1" fontId="25" fillId="9" borderId="72" xfId="60" applyNumberFormat="1" applyFont="1" applyFill="1" applyBorder="1" applyAlignment="1" applyProtection="1">
      <alignment horizontal="center"/>
      <protection locked="0"/>
    </xf>
    <xf numFmtId="1" fontId="25" fillId="9" borderId="73" xfId="60" applyNumberFormat="1" applyFont="1" applyFill="1" applyBorder="1" applyAlignment="1" applyProtection="1">
      <alignment horizontal="center"/>
      <protection locked="0"/>
    </xf>
    <xf numFmtId="1" fontId="25" fillId="18" borderId="74" xfId="60" applyNumberFormat="1" applyFont="1" applyFill="1" applyBorder="1" applyAlignment="1" applyProtection="1">
      <alignment horizontal="center"/>
      <protection locked="0"/>
    </xf>
    <xf numFmtId="0" fontId="32" fillId="18" borderId="75" xfId="60" applyFont="1" applyFill="1" applyBorder="1" applyAlignment="1" applyProtection="1">
      <alignment horizontal="center"/>
      <protection locked="0"/>
    </xf>
    <xf numFmtId="0" fontId="25" fillId="0" borderId="76" xfId="60" applyFont="1" applyBorder="1" applyAlignment="1" applyProtection="1">
      <alignment horizontal="left"/>
      <protection locked="0"/>
    </xf>
    <xf numFmtId="0" fontId="25" fillId="0" borderId="69" xfId="60" applyFont="1" applyBorder="1" applyAlignment="1" applyProtection="1">
      <alignment horizontal="left"/>
      <protection locked="0"/>
    </xf>
    <xf numFmtId="0" fontId="25" fillId="0" borderId="77" xfId="60" applyFont="1" applyBorder="1" applyAlignment="1" applyProtection="1">
      <alignment horizontal="left"/>
      <protection locked="0"/>
    </xf>
    <xf numFmtId="1" fontId="25" fillId="9" borderId="20" xfId="60" applyNumberFormat="1" applyFont="1" applyFill="1" applyBorder="1" applyAlignment="1" applyProtection="1">
      <alignment horizontal="center"/>
      <protection locked="0"/>
    </xf>
    <xf numFmtId="9" fontId="25" fillId="9" borderId="20" xfId="60" applyNumberFormat="1" applyFont="1" applyFill="1" applyBorder="1" applyAlignment="1" applyProtection="1">
      <alignment horizontal="center"/>
      <protection locked="0"/>
    </xf>
    <xf numFmtId="0" fontId="25" fillId="0" borderId="78" xfId="60" applyFont="1" applyBorder="1" applyProtection="1">
      <alignment/>
      <protection locked="0"/>
    </xf>
    <xf numFmtId="1" fontId="25" fillId="18" borderId="70" xfId="60" applyNumberFormat="1" applyFont="1" applyFill="1" applyBorder="1" applyAlignment="1" applyProtection="1">
      <alignment horizontal="center"/>
      <protection locked="0"/>
    </xf>
    <xf numFmtId="9" fontId="25" fillId="18" borderId="71" xfId="60" applyNumberFormat="1" applyFont="1" applyFill="1" applyBorder="1" applyAlignment="1" applyProtection="1">
      <alignment horizontal="center"/>
      <protection locked="0"/>
    </xf>
    <xf numFmtId="1" fontId="25" fillId="18" borderId="72" xfId="60" applyNumberFormat="1" applyFont="1" applyFill="1" applyBorder="1" applyAlignment="1" applyProtection="1">
      <alignment horizontal="center"/>
      <protection locked="0"/>
    </xf>
    <xf numFmtId="0" fontId="25" fillId="6" borderId="76" xfId="60" applyFont="1" applyFill="1" applyBorder="1" applyAlignment="1" applyProtection="1">
      <alignment horizontal="left"/>
      <protection locked="0"/>
    </xf>
    <xf numFmtId="0" fontId="25" fillId="6" borderId="69" xfId="60" applyFont="1" applyFill="1" applyBorder="1" applyAlignment="1" applyProtection="1">
      <alignment horizontal="left"/>
      <protection locked="0"/>
    </xf>
    <xf numFmtId="0" fontId="25" fillId="6" borderId="77" xfId="60" applyFont="1" applyFill="1" applyBorder="1" applyAlignment="1" applyProtection="1">
      <alignment horizontal="left"/>
      <protection locked="0"/>
    </xf>
    <xf numFmtId="1" fontId="25" fillId="6" borderId="20" xfId="60" applyNumberFormat="1" applyFont="1" applyFill="1" applyBorder="1" applyAlignment="1" applyProtection="1">
      <alignment horizontal="center"/>
      <protection locked="0"/>
    </xf>
    <xf numFmtId="9" fontId="25" fillId="6" borderId="20" xfId="60" applyNumberFormat="1" applyFont="1" applyFill="1" applyBorder="1" applyAlignment="1" applyProtection="1">
      <alignment horizontal="center"/>
      <protection locked="0"/>
    </xf>
    <xf numFmtId="0" fontId="25" fillId="6" borderId="79" xfId="60" applyFont="1" applyFill="1" applyBorder="1" applyAlignment="1" applyProtection="1">
      <alignment horizontal="left"/>
      <protection locked="0"/>
    </xf>
    <xf numFmtId="0" fontId="25" fillId="6" borderId="57" xfId="60" applyFont="1" applyFill="1" applyBorder="1" applyAlignment="1" applyProtection="1">
      <alignment horizontal="left"/>
      <protection locked="0"/>
    </xf>
    <xf numFmtId="0" fontId="25" fillId="6" borderId="80" xfId="60" applyFont="1" applyFill="1" applyBorder="1" applyAlignment="1" applyProtection="1">
      <alignment horizontal="left"/>
      <protection locked="0"/>
    </xf>
    <xf numFmtId="1" fontId="25" fillId="6" borderId="81" xfId="60" applyNumberFormat="1" applyFont="1" applyFill="1" applyBorder="1" applyAlignment="1" applyProtection="1">
      <alignment horizontal="center"/>
      <protection locked="0"/>
    </xf>
    <xf numFmtId="9" fontId="25" fillId="6" borderId="81" xfId="60" applyNumberFormat="1" applyFont="1" applyFill="1" applyBorder="1" applyAlignment="1" applyProtection="1">
      <alignment horizontal="center"/>
      <protection locked="0"/>
    </xf>
    <xf numFmtId="0" fontId="25" fillId="0" borderId="82" xfId="60" applyFont="1" applyBorder="1" applyProtection="1">
      <alignment/>
      <protection locked="0"/>
    </xf>
    <xf numFmtId="0" fontId="25" fillId="0" borderId="12" xfId="60" applyFont="1" applyBorder="1" applyProtection="1">
      <alignment/>
      <protection locked="0"/>
    </xf>
    <xf numFmtId="0" fontId="35" fillId="0" borderId="14" xfId="60" applyFont="1" applyBorder="1" applyAlignment="1" applyProtection="1">
      <alignment horizontal="right"/>
      <protection locked="0"/>
    </xf>
    <xf numFmtId="0" fontId="25" fillId="24" borderId="12" xfId="60" applyFont="1" applyFill="1" applyBorder="1" applyAlignment="1">
      <alignment/>
      <protection/>
    </xf>
    <xf numFmtId="0" fontId="25" fillId="24" borderId="13" xfId="60" applyFont="1" applyFill="1" applyBorder="1" applyAlignment="1" applyProtection="1">
      <alignment/>
      <protection locked="0"/>
    </xf>
    <xf numFmtId="0" fontId="25" fillId="24" borderId="13" xfId="60" applyFont="1" applyFill="1" applyBorder="1" applyAlignment="1">
      <alignment/>
      <protection/>
    </xf>
    <xf numFmtId="0" fontId="25" fillId="24" borderId="14" xfId="60" applyFont="1" applyFill="1" applyBorder="1" applyAlignment="1" applyProtection="1">
      <alignment/>
      <protection locked="0"/>
    </xf>
    <xf numFmtId="0" fontId="47" fillId="0" borderId="0" xfId="60" applyFont="1" applyAlignment="1" applyProtection="1">
      <alignment/>
      <protection locked="0"/>
    </xf>
    <xf numFmtId="9" fontId="25" fillId="12" borderId="19" xfId="60" applyNumberFormat="1" applyFont="1" applyFill="1" applyBorder="1" applyAlignment="1" applyProtection="1">
      <alignment horizontal="center"/>
      <protection locked="0"/>
    </xf>
    <xf numFmtId="0" fontId="25" fillId="24" borderId="18" xfId="60" applyFont="1" applyFill="1" applyBorder="1" applyAlignment="1">
      <alignment/>
      <protection/>
    </xf>
    <xf numFmtId="0" fontId="25" fillId="24" borderId="0" xfId="60" applyFont="1" applyFill="1" applyBorder="1" applyAlignment="1" applyProtection="1">
      <alignment/>
      <protection locked="0"/>
    </xf>
    <xf numFmtId="0" fontId="35" fillId="24" borderId="0" xfId="60" applyFont="1" applyFill="1" applyBorder="1" applyAlignment="1">
      <alignment horizontal="centerContinuous"/>
      <protection/>
    </xf>
    <xf numFmtId="0" fontId="25" fillId="24" borderId="0" xfId="60" applyFont="1" applyFill="1" applyBorder="1" applyAlignment="1">
      <alignment horizontal="centerContinuous"/>
      <protection/>
    </xf>
    <xf numFmtId="0" fontId="25" fillId="24" borderId="19" xfId="60" applyFont="1" applyFill="1" applyBorder="1" applyAlignment="1" applyProtection="1">
      <alignment/>
      <protection locked="0"/>
    </xf>
    <xf numFmtId="0" fontId="34" fillId="0" borderId="0" xfId="60" applyFont="1" applyAlignment="1" applyProtection="1">
      <alignment/>
      <protection locked="0"/>
    </xf>
    <xf numFmtId="9" fontId="25" fillId="19" borderId="19" xfId="60" applyNumberFormat="1" applyFont="1" applyFill="1" applyBorder="1" applyAlignment="1" applyProtection="1">
      <alignment horizontal="center"/>
      <protection locked="0"/>
    </xf>
    <xf numFmtId="0" fontId="25" fillId="24" borderId="0" xfId="60" applyFont="1" applyFill="1" applyBorder="1" applyAlignment="1">
      <alignment/>
      <protection/>
    </xf>
    <xf numFmtId="0" fontId="34" fillId="0" borderId="0" xfId="60" applyFont="1" applyProtection="1">
      <alignment/>
      <protection locked="0"/>
    </xf>
    <xf numFmtId="10" fontId="25" fillId="25" borderId="17" xfId="60" applyNumberFormat="1" applyFont="1" applyFill="1" applyBorder="1" applyAlignment="1" applyProtection="1">
      <alignment horizontal="center"/>
      <protection locked="0"/>
    </xf>
    <xf numFmtId="0" fontId="32" fillId="24" borderId="0" xfId="60" applyFont="1" applyFill="1" applyBorder="1" applyAlignment="1">
      <alignment horizontal="centerContinuous"/>
      <protection/>
    </xf>
    <xf numFmtId="0" fontId="32" fillId="24" borderId="0" xfId="60" applyFont="1" applyFill="1" applyBorder="1" applyAlignment="1">
      <alignment horizontal="left"/>
      <protection/>
    </xf>
    <xf numFmtId="0" fontId="32" fillId="24" borderId="0" xfId="60" applyFont="1" applyFill="1" applyBorder="1" applyAlignment="1">
      <alignment horizontal="center"/>
      <protection/>
    </xf>
    <xf numFmtId="0" fontId="25" fillId="0" borderId="0" xfId="60" applyFont="1" applyAlignment="1" applyProtection="1">
      <alignment horizontal="right"/>
      <protection locked="0"/>
    </xf>
    <xf numFmtId="0" fontId="25" fillId="24" borderId="18" xfId="60" applyFont="1" applyFill="1" applyBorder="1" applyAlignment="1" applyProtection="1">
      <alignment/>
      <protection locked="0"/>
    </xf>
    <xf numFmtId="0" fontId="32" fillId="24" borderId="0" xfId="60" applyFont="1" applyFill="1" applyBorder="1" applyAlignment="1" applyProtection="1">
      <alignment horizontal="center"/>
      <protection locked="0"/>
    </xf>
    <xf numFmtId="0" fontId="35" fillId="0" borderId="12" xfId="60" applyFont="1" applyBorder="1" applyProtection="1">
      <alignment/>
      <protection locked="0"/>
    </xf>
    <xf numFmtId="164" fontId="32" fillId="18" borderId="41" xfId="60" applyNumberFormat="1" applyFont="1" applyFill="1" applyBorder="1" applyAlignment="1" applyProtection="1">
      <alignment horizontal="center"/>
      <protection locked="0"/>
    </xf>
    <xf numFmtId="164" fontId="32" fillId="26" borderId="41" xfId="60" applyNumberFormat="1" applyFont="1" applyFill="1" applyBorder="1" applyAlignment="1" applyProtection="1">
      <alignment horizontal="center"/>
      <protection locked="0"/>
    </xf>
    <xf numFmtId="0" fontId="25" fillId="24" borderId="19" xfId="60" applyFont="1" applyFill="1" applyBorder="1" applyAlignment="1">
      <alignment/>
      <protection/>
    </xf>
    <xf numFmtId="164" fontId="32" fillId="26" borderId="28" xfId="60" applyNumberFormat="1" applyFont="1" applyFill="1" applyBorder="1" applyAlignment="1" applyProtection="1">
      <alignment horizontal="center"/>
      <protection locked="0"/>
    </xf>
    <xf numFmtId="164" fontId="32" fillId="9" borderId="30" xfId="60" applyNumberFormat="1" applyFont="1" applyFill="1" applyBorder="1" applyAlignment="1" applyProtection="1">
      <alignment horizontal="center"/>
      <protection locked="0"/>
    </xf>
    <xf numFmtId="0" fontId="32" fillId="24" borderId="18" xfId="60" applyFont="1" applyFill="1" applyBorder="1" applyAlignment="1" applyProtection="1">
      <alignment/>
      <protection locked="0"/>
    </xf>
    <xf numFmtId="0" fontId="25" fillId="24" borderId="15" xfId="60" applyFont="1" applyFill="1" applyBorder="1" applyAlignment="1" applyProtection="1">
      <alignment/>
      <protection locked="0"/>
    </xf>
    <xf numFmtId="0" fontId="25" fillId="24" borderId="16" xfId="60" applyFont="1" applyFill="1" applyBorder="1" applyAlignment="1" applyProtection="1">
      <alignment/>
      <protection locked="0"/>
    </xf>
    <xf numFmtId="0" fontId="25" fillId="24" borderId="17" xfId="60" applyFont="1" applyFill="1" applyBorder="1" applyAlignment="1" applyProtection="1">
      <alignment/>
      <protection locked="0"/>
    </xf>
    <xf numFmtId="0" fontId="25" fillId="0" borderId="18" xfId="60" applyFont="1" applyFill="1" applyBorder="1" applyAlignment="1">
      <alignment horizontal="left"/>
      <protection/>
    </xf>
    <xf numFmtId="9" fontId="25" fillId="0" borderId="83" xfId="64" applyFont="1" applyFill="1" applyBorder="1" applyAlignment="1" applyProtection="1">
      <alignment horizontal="left" vertical="center"/>
      <protection locked="0"/>
    </xf>
    <xf numFmtId="0" fontId="25" fillId="0" borderId="16" xfId="6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48" fillId="0" borderId="84" xfId="0" applyFont="1" applyBorder="1" applyAlignment="1">
      <alignment horizontal="center"/>
    </xf>
    <xf numFmtId="0" fontId="48" fillId="0" borderId="85" xfId="0" applyFont="1" applyBorder="1" applyAlignment="1">
      <alignment horizontal="center"/>
    </xf>
    <xf numFmtId="0" fontId="48" fillId="0" borderId="86" xfId="0" applyFont="1" applyBorder="1" applyAlignment="1">
      <alignment horizontal="center"/>
    </xf>
    <xf numFmtId="0" fontId="48" fillId="0" borderId="87" xfId="0" applyFont="1" applyBorder="1" applyAlignment="1">
      <alignment horizontal="center"/>
    </xf>
    <xf numFmtId="0" fontId="48" fillId="0" borderId="41" xfId="0" applyFont="1" applyBorder="1" applyAlignment="1">
      <alignment horizontal="center"/>
    </xf>
    <xf numFmtId="0" fontId="48" fillId="0" borderId="88" xfId="0" applyFont="1" applyBorder="1" applyAlignment="1">
      <alignment horizontal="center"/>
    </xf>
    <xf numFmtId="0" fontId="48" fillId="0" borderId="59" xfId="0" applyFont="1" applyBorder="1" applyAlignment="1">
      <alignment/>
    </xf>
    <xf numFmtId="0" fontId="57" fillId="0" borderId="0" xfId="0" applyFont="1" applyAlignment="1">
      <alignment horizontal="center" vertical="center"/>
    </xf>
    <xf numFmtId="0" fontId="0" fillId="0" borderId="84" xfId="0" applyBorder="1" applyAlignment="1">
      <alignment/>
    </xf>
    <xf numFmtId="0" fontId="0" fillId="0" borderId="85" xfId="0" applyBorder="1" applyAlignment="1">
      <alignment/>
    </xf>
    <xf numFmtId="215" fontId="0" fillId="0" borderId="86" xfId="0" applyNumberFormat="1" applyBorder="1" applyAlignment="1">
      <alignment/>
    </xf>
    <xf numFmtId="0" fontId="48" fillId="0" borderId="4" xfId="0" applyFont="1" applyBorder="1" applyAlignment="1">
      <alignment/>
    </xf>
    <xf numFmtId="0" fontId="0" fillId="0" borderId="89" xfId="0" applyBorder="1" applyAlignment="1">
      <alignment/>
    </xf>
    <xf numFmtId="0" fontId="0" fillId="0" borderId="54" xfId="0" applyBorder="1" applyAlignment="1">
      <alignment/>
    </xf>
    <xf numFmtId="215" fontId="0" fillId="0" borderId="90" xfId="0" applyNumberFormat="1" applyBorder="1" applyAlignment="1">
      <alignment/>
    </xf>
    <xf numFmtId="0" fontId="48" fillId="0" borderId="91" xfId="0" applyFont="1" applyBorder="1" applyAlignment="1">
      <alignment/>
    </xf>
    <xf numFmtId="0" fontId="0" fillId="0" borderId="83" xfId="0" applyBorder="1" applyAlignment="1">
      <alignment/>
    </xf>
    <xf numFmtId="0" fontId="0" fillId="0" borderId="92" xfId="0" applyBorder="1" applyAlignment="1">
      <alignment/>
    </xf>
    <xf numFmtId="215" fontId="0" fillId="0" borderId="93" xfId="0" applyNumberFormat="1" applyBorder="1" applyAlignment="1">
      <alignment/>
    </xf>
    <xf numFmtId="0" fontId="0" fillId="0" borderId="0" xfId="0" applyAlignment="1">
      <alignment horizontal="center" vertical="center" textRotation="90"/>
    </xf>
    <xf numFmtId="215" fontId="0" fillId="0" borderId="0" xfId="0" applyNumberFormat="1" applyAlignment="1">
      <alignment/>
    </xf>
    <xf numFmtId="0" fontId="48" fillId="0" borderId="94" xfId="0" applyFont="1" applyBorder="1" applyAlignment="1">
      <alignment/>
    </xf>
    <xf numFmtId="0" fontId="0" fillId="0" borderId="95" xfId="0" applyBorder="1" applyAlignment="1">
      <alignment/>
    </xf>
    <xf numFmtId="0" fontId="48" fillId="0" borderId="96" xfId="0" applyFont="1" applyBorder="1" applyAlignment="1">
      <alignment/>
    </xf>
    <xf numFmtId="0" fontId="0" fillId="0" borderId="97" xfId="0" applyBorder="1" applyAlignment="1">
      <alignment/>
    </xf>
    <xf numFmtId="0" fontId="48" fillId="0" borderId="98" xfId="0" applyFont="1" applyBorder="1" applyAlignment="1">
      <alignment/>
    </xf>
    <xf numFmtId="0" fontId="0" fillId="0" borderId="99" xfId="0" applyBorder="1" applyAlignment="1">
      <alignment/>
    </xf>
    <xf numFmtId="0" fontId="56" fillId="27" borderId="100" xfId="0" applyFont="1" applyFill="1" applyBorder="1" applyAlignment="1">
      <alignment/>
    </xf>
    <xf numFmtId="0" fontId="56" fillId="27" borderId="101" xfId="0" applyFont="1" applyFill="1" applyBorder="1" applyAlignment="1">
      <alignment/>
    </xf>
    <xf numFmtId="0" fontId="56" fillId="27" borderId="100" xfId="0" applyFont="1" applyFill="1" applyBorder="1" applyAlignment="1">
      <alignment horizontal="center" wrapText="1"/>
    </xf>
    <xf numFmtId="0" fontId="56" fillId="27" borderId="56" xfId="0" applyFont="1" applyFill="1" applyBorder="1" applyAlignment="1">
      <alignment horizontal="center" wrapText="1"/>
    </xf>
    <xf numFmtId="0" fontId="56" fillId="27" borderId="102" xfId="0" applyFont="1" applyFill="1" applyBorder="1" applyAlignment="1">
      <alignment horizontal="center" wrapText="1"/>
    </xf>
    <xf numFmtId="0" fontId="56" fillId="27" borderId="36" xfId="0" applyFont="1" applyFill="1" applyBorder="1" applyAlignment="1">
      <alignment/>
    </xf>
    <xf numFmtId="0" fontId="56" fillId="27" borderId="35" xfId="0" applyFont="1" applyFill="1" applyBorder="1" applyAlignment="1">
      <alignment/>
    </xf>
    <xf numFmtId="0" fontId="0" fillId="2" borderId="36" xfId="0" applyFont="1" applyFill="1" applyBorder="1" applyAlignment="1">
      <alignment horizontal="center" wrapText="1"/>
    </xf>
    <xf numFmtId="0" fontId="0" fillId="2" borderId="37" xfId="0" applyFont="1" applyFill="1" applyBorder="1" applyAlignment="1">
      <alignment horizontal="center" wrapText="1"/>
    </xf>
    <xf numFmtId="0" fontId="0" fillId="2" borderId="38" xfId="0" applyFont="1" applyFill="1" applyBorder="1" applyAlignment="1">
      <alignment horizontal="center" wrapText="1"/>
    </xf>
    <xf numFmtId="0" fontId="56" fillId="27" borderId="89" xfId="0" applyFont="1" applyFill="1" applyBorder="1" applyAlignment="1">
      <alignment/>
    </xf>
    <xf numFmtId="0" fontId="56" fillId="27" borderId="55" xfId="0" applyFont="1" applyFill="1" applyBorder="1" applyAlignment="1">
      <alignment/>
    </xf>
    <xf numFmtId="0" fontId="0" fillId="2" borderId="89" xfId="0" applyFont="1" applyFill="1" applyBorder="1" applyAlignment="1">
      <alignment horizontal="center" wrapText="1"/>
    </xf>
    <xf numFmtId="0" fontId="0" fillId="2" borderId="54" xfId="0" applyFont="1" applyFill="1" applyBorder="1" applyAlignment="1">
      <alignment horizontal="center" wrapText="1"/>
    </xf>
    <xf numFmtId="0" fontId="0" fillId="2" borderId="90" xfId="0" applyFont="1" applyFill="1" applyBorder="1" applyAlignment="1">
      <alignment horizontal="center" wrapText="1"/>
    </xf>
    <xf numFmtId="3" fontId="0" fillId="2" borderId="90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56" fillId="27" borderId="83" xfId="0" applyFont="1" applyFill="1" applyBorder="1" applyAlignment="1">
      <alignment/>
    </xf>
    <xf numFmtId="0" fontId="56" fillId="27" borderId="103" xfId="0" applyFont="1" applyFill="1" applyBorder="1" applyAlignment="1">
      <alignment/>
    </xf>
    <xf numFmtId="215" fontId="0" fillId="2" borderId="83" xfId="0" applyNumberFormat="1" applyFont="1" applyFill="1" applyBorder="1" applyAlignment="1">
      <alignment horizontal="center" wrapText="1"/>
    </xf>
    <xf numFmtId="215" fontId="0" fillId="2" borderId="92" xfId="0" applyNumberFormat="1" applyFont="1" applyFill="1" applyBorder="1" applyAlignment="1">
      <alignment horizontal="center" wrapText="1"/>
    </xf>
    <xf numFmtId="215" fontId="0" fillId="2" borderId="93" xfId="0" applyNumberFormat="1" applyFont="1" applyFill="1" applyBorder="1" applyAlignment="1">
      <alignment horizontal="center" wrapText="1"/>
    </xf>
    <xf numFmtId="0" fontId="48" fillId="0" borderId="40" xfId="0" applyFont="1" applyBorder="1" applyAlignment="1">
      <alignment horizontal="center"/>
    </xf>
    <xf numFmtId="0" fontId="48" fillId="0" borderId="100" xfId="0" applyFont="1" applyBorder="1" applyAlignment="1">
      <alignment horizontal="center" vertical="center" wrapText="1"/>
    </xf>
    <xf numFmtId="0" fontId="48" fillId="0" borderId="56" xfId="0" applyFont="1" applyBorder="1" applyAlignment="1">
      <alignment horizontal="center" vertical="center" wrapText="1"/>
    </xf>
    <xf numFmtId="0" fontId="48" fillId="0" borderId="102" xfId="0" applyFont="1" applyBorder="1" applyAlignment="1">
      <alignment horizontal="center" vertical="center" wrapText="1"/>
    </xf>
    <xf numFmtId="0" fontId="48" fillId="0" borderId="4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8" fillId="0" borderId="104" xfId="0" applyFont="1" applyBorder="1" applyAlignment="1">
      <alignment/>
    </xf>
    <xf numFmtId="0" fontId="0" fillId="0" borderId="39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04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9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103" xfId="0" applyBorder="1" applyAlignment="1">
      <alignment horizontal="center"/>
    </xf>
    <xf numFmtId="0" fontId="0" fillId="0" borderId="98" xfId="0" applyBorder="1" applyAlignment="1">
      <alignment horizontal="center"/>
    </xf>
    <xf numFmtId="0" fontId="48" fillId="0" borderId="84" xfId="0" applyFont="1" applyBorder="1" applyAlignment="1">
      <alignment horizontal="center" wrapText="1"/>
    </xf>
    <xf numFmtId="0" fontId="48" fillId="0" borderId="86" xfId="0" applyFont="1" applyBorder="1" applyAlignment="1">
      <alignment horizontal="center" wrapText="1"/>
    </xf>
    <xf numFmtId="0" fontId="48" fillId="0" borderId="58" xfId="0" applyFont="1" applyBorder="1" applyAlignment="1">
      <alignment/>
    </xf>
    <xf numFmtId="0" fontId="0" fillId="0" borderId="89" xfId="0" applyBorder="1" applyAlignment="1">
      <alignment horizontal="center"/>
    </xf>
    <xf numFmtId="9" fontId="0" fillId="0" borderId="90" xfId="0" applyNumberFormat="1" applyBorder="1" applyAlignment="1">
      <alignment horizontal="center"/>
    </xf>
    <xf numFmtId="0" fontId="48" fillId="0" borderId="105" xfId="0" applyFont="1" applyBorder="1" applyAlignment="1">
      <alignment/>
    </xf>
    <xf numFmtId="0" fontId="48" fillId="0" borderId="106" xfId="0" applyFont="1" applyBorder="1" applyAlignment="1">
      <alignment/>
    </xf>
    <xf numFmtId="0" fontId="0" fillId="0" borderId="83" xfId="0" applyBorder="1" applyAlignment="1">
      <alignment horizontal="center"/>
    </xf>
    <xf numFmtId="10" fontId="0" fillId="0" borderId="93" xfId="0" applyNumberForma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57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56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220" fontId="56" fillId="0" borderId="0" xfId="0" applyNumberFormat="1" applyFont="1" applyFill="1" applyBorder="1" applyAlignment="1">
      <alignment horizontal="center" vertical="center"/>
    </xf>
    <xf numFmtId="220" fontId="56" fillId="0" borderId="0" xfId="64" applyNumberFormat="1" applyFont="1" applyFill="1" applyBorder="1" applyAlignment="1">
      <alignment vertical="center"/>
    </xf>
    <xf numFmtId="9" fontId="0" fillId="0" borderId="0" xfId="0" applyNumberFormat="1" applyAlignment="1">
      <alignment/>
    </xf>
    <xf numFmtId="220" fontId="0" fillId="0" borderId="0" xfId="64" applyNumberFormat="1" applyFont="1" applyFill="1" applyBorder="1" applyAlignment="1">
      <alignment vertical="center"/>
    </xf>
    <xf numFmtId="10" fontId="0" fillId="0" borderId="0" xfId="0" applyNumberFormat="1" applyAlignment="1">
      <alignment/>
    </xf>
    <xf numFmtId="0" fontId="0" fillId="19" borderId="0" xfId="0" applyFill="1" applyAlignment="1">
      <alignment/>
    </xf>
    <xf numFmtId="220" fontId="58" fillId="0" borderId="0" xfId="64" applyNumberFormat="1" applyFont="1" applyFill="1" applyBorder="1" applyAlignment="1">
      <alignment vertical="center"/>
    </xf>
    <xf numFmtId="0" fontId="56" fillId="28" borderId="86" xfId="0" applyFont="1" applyFill="1" applyBorder="1" applyAlignment="1">
      <alignment horizontal="center" vertical="center"/>
    </xf>
    <xf numFmtId="0" fontId="56" fillId="28" borderId="107" xfId="0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56" fillId="28" borderId="108" xfId="0" applyFont="1" applyFill="1" applyBorder="1" applyAlignment="1">
      <alignment horizontal="left" vertical="center"/>
    </xf>
    <xf numFmtId="220" fontId="56" fillId="28" borderId="109" xfId="0" applyNumberFormat="1" applyFont="1" applyFill="1" applyBorder="1" applyAlignment="1">
      <alignment horizontal="center" vertical="center"/>
    </xf>
    <xf numFmtId="9" fontId="56" fillId="28" borderId="36" xfId="64" applyFont="1" applyFill="1" applyBorder="1" applyAlignment="1">
      <alignment vertical="center"/>
    </xf>
    <xf numFmtId="220" fontId="56" fillId="28" borderId="38" xfId="64" applyNumberFormat="1" applyFont="1" applyFill="1" applyBorder="1" applyAlignment="1">
      <alignment vertical="center"/>
    </xf>
    <xf numFmtId="9" fontId="56" fillId="29" borderId="89" xfId="64" applyFont="1" applyFill="1" applyBorder="1" applyAlignment="1">
      <alignment horizontal="left" vertical="center" indent="1"/>
    </xf>
    <xf numFmtId="220" fontId="56" fillId="29" borderId="90" xfId="64" applyNumberFormat="1" applyFont="1" applyFill="1" applyBorder="1" applyAlignment="1">
      <alignment vertical="center"/>
    </xf>
    <xf numFmtId="9" fontId="56" fillId="27" borderId="89" xfId="64" applyFont="1" applyFill="1" applyBorder="1" applyAlignment="1">
      <alignment horizontal="left" vertical="center" indent="2"/>
    </xf>
    <xf numFmtId="220" fontId="56" fillId="14" borderId="90" xfId="64" applyNumberFormat="1" applyFont="1" applyFill="1" applyBorder="1" applyAlignment="1">
      <alignment vertical="center"/>
    </xf>
    <xf numFmtId="220" fontId="58" fillId="19" borderId="90" xfId="64" applyNumberFormat="1" applyFont="1" applyFill="1" applyBorder="1" applyAlignment="1">
      <alignment vertical="center"/>
    </xf>
    <xf numFmtId="0" fontId="32" fillId="7" borderId="14" xfId="60" applyFont="1" applyFill="1" applyBorder="1" applyAlignment="1">
      <alignment horizontal="center"/>
      <protection/>
    </xf>
    <xf numFmtId="49" fontId="0" fillId="2" borderId="89" xfId="64" applyNumberFormat="1" applyFont="1" applyFill="1" applyBorder="1" applyAlignment="1">
      <alignment horizontal="left" vertical="center" indent="4"/>
    </xf>
    <xf numFmtId="220" fontId="0" fillId="2" borderId="90" xfId="64" applyNumberFormat="1" applyFont="1" applyFill="1" applyBorder="1" applyAlignment="1">
      <alignment vertical="center"/>
    </xf>
    <xf numFmtId="9" fontId="0" fillId="7" borderId="89" xfId="64" applyFont="1" applyFill="1" applyBorder="1" applyAlignment="1">
      <alignment horizontal="left" vertical="center" indent="3"/>
    </xf>
    <xf numFmtId="220" fontId="0" fillId="7" borderId="90" xfId="64" applyNumberFormat="1" applyFont="1" applyFill="1" applyBorder="1" applyAlignment="1">
      <alignment vertical="center"/>
    </xf>
    <xf numFmtId="9" fontId="0" fillId="2" borderId="89" xfId="64" applyFont="1" applyFill="1" applyBorder="1" applyAlignment="1">
      <alignment horizontal="left" vertical="center" indent="4"/>
    </xf>
    <xf numFmtId="9" fontId="0" fillId="28" borderId="83" xfId="64" applyFont="1" applyFill="1" applyBorder="1" applyAlignment="1">
      <alignment vertical="center"/>
    </xf>
    <xf numFmtId="220" fontId="0" fillId="28" borderId="93" xfId="64" applyNumberFormat="1" applyFont="1" applyFill="1" applyBorder="1" applyAlignment="1">
      <alignment vertical="center"/>
    </xf>
    <xf numFmtId="164" fontId="32" fillId="30" borderId="41" xfId="60" applyNumberFormat="1" applyFont="1" applyFill="1" applyBorder="1" applyAlignment="1" applyProtection="1">
      <alignment horizontal="center"/>
      <protection locked="0"/>
    </xf>
    <xf numFmtId="164" fontId="25" fillId="0" borderId="13" xfId="60" applyNumberFormat="1" applyFont="1" applyFill="1" applyBorder="1" applyAlignment="1" applyProtection="1">
      <alignment horizontal="center"/>
      <protection locked="0"/>
    </xf>
    <xf numFmtId="1" fontId="25" fillId="0" borderId="24" xfId="60" applyNumberFormat="1" applyFont="1" applyFill="1" applyBorder="1" applyAlignment="1" applyProtection="1">
      <alignment horizontal="center"/>
      <protection locked="0"/>
    </xf>
    <xf numFmtId="1" fontId="25" fillId="0" borderId="25" xfId="60" applyNumberFormat="1" applyFont="1" applyFill="1" applyBorder="1" applyAlignment="1" applyProtection="1">
      <alignment horizontal="center"/>
      <protection locked="0"/>
    </xf>
    <xf numFmtId="1" fontId="25" fillId="0" borderId="26" xfId="60" applyNumberFormat="1" applyFont="1" applyFill="1" applyBorder="1" applyAlignment="1" applyProtection="1">
      <alignment horizontal="center"/>
      <protection locked="0"/>
    </xf>
    <xf numFmtId="0" fontId="48" fillId="0" borderId="94" xfId="0" applyFont="1" applyBorder="1" applyAlignment="1">
      <alignment horizontal="center" vertical="center" textRotation="90"/>
    </xf>
    <xf numFmtId="0" fontId="48" fillId="0" borderId="96" xfId="0" applyFont="1" applyBorder="1" applyAlignment="1">
      <alignment horizontal="center" vertical="center" textRotation="90"/>
    </xf>
    <xf numFmtId="0" fontId="48" fillId="0" borderId="98" xfId="0" applyFont="1" applyBorder="1" applyAlignment="1">
      <alignment horizontal="center" vertical="center" textRotation="90"/>
    </xf>
    <xf numFmtId="0" fontId="48" fillId="0" borderId="58" xfId="0" applyFont="1" applyBorder="1" applyAlignment="1">
      <alignment horizontal="center" vertical="center" textRotation="90"/>
    </xf>
    <xf numFmtId="0" fontId="48" fillId="0" borderId="105" xfId="0" applyFont="1" applyBorder="1" applyAlignment="1">
      <alignment horizontal="center" vertical="center" textRotation="90"/>
    </xf>
    <xf numFmtId="0" fontId="48" fillId="0" borderId="106" xfId="0" applyFont="1" applyBorder="1" applyAlignment="1">
      <alignment horizontal="center" vertical="center" textRotation="90"/>
    </xf>
    <xf numFmtId="0" fontId="25" fillId="6" borderId="110" xfId="60" applyFont="1" applyFill="1" applyBorder="1" applyAlignment="1">
      <alignment horizontal="center"/>
      <protection/>
    </xf>
    <xf numFmtId="0" fontId="25" fillId="6" borderId="69" xfId="60" applyFont="1" applyFill="1" applyBorder="1" applyAlignment="1">
      <alignment horizontal="center"/>
      <protection/>
    </xf>
    <xf numFmtId="0" fontId="25" fillId="6" borderId="111" xfId="60" applyFont="1" applyFill="1" applyBorder="1" applyAlignment="1">
      <alignment horizontal="center"/>
      <protection/>
    </xf>
    <xf numFmtId="0" fontId="25" fillId="6" borderId="77" xfId="60" applyFont="1" applyFill="1" applyBorder="1" applyAlignment="1">
      <alignment horizontal="center"/>
      <protection/>
    </xf>
    <xf numFmtId="0" fontId="32" fillId="7" borderId="25" xfId="60" applyFont="1" applyFill="1" applyBorder="1" applyAlignment="1" applyProtection="1">
      <alignment horizontal="center" vertical="top" wrapText="1"/>
      <protection locked="0"/>
    </xf>
    <xf numFmtId="0" fontId="36" fillId="7" borderId="30" xfId="0" applyFont="1" applyFill="1" applyBorder="1" applyAlignment="1">
      <alignment horizontal="center" vertical="top" wrapText="1"/>
    </xf>
    <xf numFmtId="0" fontId="25" fillId="0" borderId="69" xfId="60" applyFont="1" applyBorder="1" applyAlignment="1" applyProtection="1">
      <alignment horizontal="left"/>
      <protection locked="0"/>
    </xf>
    <xf numFmtId="9" fontId="32" fillId="7" borderId="69" xfId="60" applyNumberFormat="1" applyFont="1" applyFill="1" applyBorder="1" applyAlignment="1">
      <alignment horizontal="center"/>
      <protection/>
    </xf>
    <xf numFmtId="9" fontId="32" fillId="7" borderId="111" xfId="60" applyNumberFormat="1" applyFont="1" applyFill="1" applyBorder="1" applyAlignment="1">
      <alignment horizontal="center"/>
      <protection/>
    </xf>
    <xf numFmtId="0" fontId="32" fillId="7" borderId="13" xfId="60" applyFont="1" applyFill="1" applyBorder="1" applyAlignment="1" applyProtection="1">
      <alignment horizontal="center"/>
      <protection locked="0"/>
    </xf>
    <xf numFmtId="0" fontId="32" fillId="7" borderId="14" xfId="60" applyFont="1" applyFill="1" applyBorder="1" applyAlignment="1" applyProtection="1">
      <alignment horizontal="center"/>
      <protection locked="0"/>
    </xf>
    <xf numFmtId="0" fontId="32" fillId="7" borderId="13" xfId="60" applyFont="1" applyFill="1" applyBorder="1" applyAlignment="1">
      <alignment horizontal="center"/>
      <protection/>
    </xf>
    <xf numFmtId="9" fontId="42" fillId="31" borderId="101" xfId="64" applyFont="1" applyFill="1" applyBorder="1" applyAlignment="1" applyProtection="1">
      <alignment horizontal="center"/>
      <protection locked="0"/>
    </xf>
    <xf numFmtId="9" fontId="42" fillId="31" borderId="3" xfId="64" applyFont="1" applyFill="1" applyBorder="1" applyAlignment="1" applyProtection="1">
      <alignment horizontal="center"/>
      <protection locked="0"/>
    </xf>
    <xf numFmtId="0" fontId="56" fillId="28" borderId="24" xfId="0" applyFont="1" applyFill="1" applyBorder="1" applyAlignment="1">
      <alignment horizontal="left" vertical="center"/>
    </xf>
    <xf numFmtId="0" fontId="56" fillId="28" borderId="112" xfId="0" applyFont="1" applyFill="1" applyBorder="1" applyAlignment="1">
      <alignment horizontal="left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Cents" xfId="44"/>
    <cellStyle name="Currency" xfId="45"/>
    <cellStyle name="Currency [0]" xfId="46"/>
    <cellStyle name="Explanatory Text" xfId="47"/>
    <cellStyle name="Followed Hyperlink" xfId="48"/>
    <cellStyle name="Good" xfId="49"/>
    <cellStyle name="Header1" xfId="50"/>
    <cellStyle name="Header2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_System.Orbiter" xfId="60"/>
    <cellStyle name="Normalu" xfId="61"/>
    <cellStyle name="Note" xfId="62"/>
    <cellStyle name="Output" xfId="63"/>
    <cellStyle name="Percent" xfId="64"/>
    <cellStyle name="test" xfId="65"/>
    <cellStyle name="Title" xfId="66"/>
    <cellStyle name="Total" xfId="67"/>
    <cellStyle name="Warning Text" xfId="68"/>
  </cellStyles>
  <dxfs count="9">
    <dxf>
      <fill>
        <patternFill>
          <bgColor rgb="FFFFCC99"/>
        </patternFill>
      </fill>
      <border/>
    </dxf>
    <dxf>
      <font>
        <color rgb="FF969696"/>
      </font>
      <border/>
    </dxf>
    <dxf>
      <font>
        <color rgb="FF808080"/>
      </font>
      <border/>
    </dxf>
    <dxf>
      <font>
        <color rgb="FF00CCFF"/>
      </font>
      <border/>
    </dxf>
    <dxf>
      <font>
        <color rgb="FF99CCFF"/>
      </font>
      <border/>
    </dxf>
    <dxf>
      <font>
        <color auto="1"/>
      </font>
      <fill>
        <patternFill>
          <bgColor rgb="FF00FF00"/>
        </patternFill>
      </fill>
      <border/>
    </dxf>
    <dxf>
      <font>
        <color auto="1"/>
      </font>
      <fill>
        <patternFill>
          <bgColor rgb="FFFFFF00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15</xdr:col>
      <xdr:colOff>95250</xdr:colOff>
      <xdr:row>35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23850"/>
          <a:ext cx="8629650" cy="5457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13</xdr:col>
      <xdr:colOff>342900</xdr:colOff>
      <xdr:row>26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23850"/>
          <a:ext cx="7658100" cy="392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15</xdr:col>
      <xdr:colOff>95250</xdr:colOff>
      <xdr:row>27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23850"/>
          <a:ext cx="8629650" cy="404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warfiel\Desktop\01_Spacecraft\Systems.SC.1.1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ExSys_Settings"/>
      <sheetName val="Outputs"/>
      <sheetName val="Aux Inputs"/>
      <sheetName val="Inputs"/>
      <sheetName val="SE CheckList"/>
      <sheetName val="Guidelines"/>
      <sheetName val="Worksheet"/>
      <sheetName val="Data"/>
      <sheetName val="MEL"/>
      <sheetName val="Fact Sheet-Project"/>
      <sheetName val="Fact Sheet-Spacecraft"/>
      <sheetName val="Schedule"/>
      <sheetName val="Radiation"/>
      <sheetName val="Data Loop"/>
      <sheetName val="Mission Plan"/>
      <sheetName val="Sys Feedback Form"/>
      <sheetName val="Compliance Matrix"/>
      <sheetName val="NASA Margin Summary"/>
      <sheetName val="TRL Definitions"/>
      <sheetName val="Change log (temp)"/>
      <sheetName val="Change Log"/>
      <sheetName val="Systems.ToolDev Main Sheet"/>
    </sheetNames>
    <definedNames>
      <definedName name="Button189_Click"/>
      <definedName name="MassDelta"/>
    </definedNames>
    <sheetDataSet>
      <sheetData sheetId="3">
        <row r="237">
          <cell r="O237">
            <v>0</v>
          </cell>
        </row>
        <row r="248">
          <cell r="O248">
            <v>0</v>
          </cell>
        </row>
        <row r="249">
          <cell r="O249">
            <v>0</v>
          </cell>
        </row>
        <row r="250">
          <cell r="O250">
            <v>0</v>
          </cell>
        </row>
        <row r="251">
          <cell r="O251">
            <v>0</v>
          </cell>
        </row>
        <row r="252">
          <cell r="O252">
            <v>0</v>
          </cell>
        </row>
        <row r="253">
          <cell r="O253">
            <v>0</v>
          </cell>
        </row>
        <row r="254">
          <cell r="O254">
            <v>0</v>
          </cell>
        </row>
        <row r="255">
          <cell r="O255">
            <v>0</v>
          </cell>
        </row>
        <row r="256">
          <cell r="O256">
            <v>0</v>
          </cell>
        </row>
        <row r="257">
          <cell r="O257">
            <v>0</v>
          </cell>
        </row>
        <row r="258">
          <cell r="O258">
            <v>0</v>
          </cell>
        </row>
        <row r="259">
          <cell r="O259">
            <v>0</v>
          </cell>
        </row>
        <row r="260">
          <cell r="O260">
            <v>0</v>
          </cell>
        </row>
        <row r="361">
          <cell r="O361">
            <v>0</v>
          </cell>
        </row>
        <row r="362">
          <cell r="O362">
            <v>0</v>
          </cell>
        </row>
        <row r="363">
          <cell r="O363">
            <v>0</v>
          </cell>
        </row>
        <row r="364">
          <cell r="O364">
            <v>0</v>
          </cell>
        </row>
        <row r="365">
          <cell r="O365">
            <v>0</v>
          </cell>
        </row>
        <row r="366">
          <cell r="O366">
            <v>0</v>
          </cell>
        </row>
        <row r="367">
          <cell r="O367">
            <v>0</v>
          </cell>
        </row>
        <row r="368">
          <cell r="O368">
            <v>0</v>
          </cell>
        </row>
        <row r="369">
          <cell r="O369">
            <v>0</v>
          </cell>
        </row>
        <row r="370">
          <cell r="O370">
            <v>0</v>
          </cell>
        </row>
        <row r="371">
          <cell r="O371">
            <v>0</v>
          </cell>
        </row>
        <row r="372">
          <cell r="O372">
            <v>0</v>
          </cell>
        </row>
        <row r="373">
          <cell r="O373">
            <v>0</v>
          </cell>
        </row>
        <row r="374">
          <cell r="O374">
            <v>0</v>
          </cell>
        </row>
        <row r="375">
          <cell r="O375">
            <v>0</v>
          </cell>
        </row>
        <row r="376">
          <cell r="O376">
            <v>0</v>
          </cell>
        </row>
        <row r="377">
          <cell r="O377">
            <v>0</v>
          </cell>
        </row>
        <row r="378">
          <cell r="O378">
            <v>0</v>
          </cell>
        </row>
        <row r="379">
          <cell r="O379">
            <v>0</v>
          </cell>
        </row>
        <row r="380">
          <cell r="O380">
            <v>0</v>
          </cell>
        </row>
        <row r="381">
          <cell r="O381">
            <v>0</v>
          </cell>
        </row>
        <row r="382">
          <cell r="O382">
            <v>0</v>
          </cell>
        </row>
        <row r="383">
          <cell r="O383">
            <v>0</v>
          </cell>
        </row>
        <row r="384">
          <cell r="O384">
            <v>0</v>
          </cell>
        </row>
        <row r="385">
          <cell r="O385">
            <v>0</v>
          </cell>
        </row>
        <row r="386">
          <cell r="O386">
            <v>0</v>
          </cell>
        </row>
        <row r="387">
          <cell r="O387">
            <v>0</v>
          </cell>
        </row>
        <row r="388">
          <cell r="O388">
            <v>0</v>
          </cell>
        </row>
        <row r="389">
          <cell r="O389">
            <v>0</v>
          </cell>
        </row>
        <row r="390">
          <cell r="O390">
            <v>0</v>
          </cell>
        </row>
        <row r="391">
          <cell r="O391">
            <v>0</v>
          </cell>
        </row>
        <row r="392">
          <cell r="O392">
            <v>0</v>
          </cell>
        </row>
        <row r="393">
          <cell r="O393">
            <v>0</v>
          </cell>
        </row>
        <row r="394">
          <cell r="O394">
            <v>0</v>
          </cell>
        </row>
        <row r="395">
          <cell r="O395">
            <v>0</v>
          </cell>
        </row>
        <row r="396">
          <cell r="O396">
            <v>0</v>
          </cell>
        </row>
        <row r="397">
          <cell r="O397">
            <v>0</v>
          </cell>
        </row>
        <row r="398">
          <cell r="O398">
            <v>0</v>
          </cell>
        </row>
        <row r="399">
          <cell r="O399">
            <v>0</v>
          </cell>
        </row>
        <row r="400">
          <cell r="O400">
            <v>0</v>
          </cell>
        </row>
        <row r="401">
          <cell r="O401">
            <v>0</v>
          </cell>
        </row>
        <row r="402">
          <cell r="O402">
            <v>0</v>
          </cell>
        </row>
        <row r="403">
          <cell r="O403">
            <v>0</v>
          </cell>
        </row>
        <row r="404">
          <cell r="O404">
            <v>0</v>
          </cell>
        </row>
        <row r="405">
          <cell r="O405">
            <v>0</v>
          </cell>
        </row>
        <row r="406">
          <cell r="O406">
            <v>0</v>
          </cell>
        </row>
        <row r="407">
          <cell r="O407">
            <v>0</v>
          </cell>
        </row>
        <row r="408">
          <cell r="O408">
            <v>0</v>
          </cell>
        </row>
        <row r="409">
          <cell r="O409">
            <v>0</v>
          </cell>
        </row>
        <row r="410">
          <cell r="O410">
            <v>0</v>
          </cell>
        </row>
        <row r="411">
          <cell r="O411">
            <v>39763.5818678241</v>
          </cell>
        </row>
        <row r="437">
          <cell r="O437">
            <v>0</v>
          </cell>
        </row>
        <row r="438">
          <cell r="O438">
            <v>0</v>
          </cell>
        </row>
        <row r="439">
          <cell r="O439">
            <v>0</v>
          </cell>
        </row>
        <row r="440">
          <cell r="O440">
            <v>0</v>
          </cell>
        </row>
        <row r="441">
          <cell r="O441">
            <v>0</v>
          </cell>
        </row>
        <row r="442">
          <cell r="O442">
            <v>0</v>
          </cell>
        </row>
        <row r="443">
          <cell r="O443">
            <v>0</v>
          </cell>
        </row>
        <row r="444">
          <cell r="O444">
            <v>0</v>
          </cell>
        </row>
        <row r="445">
          <cell r="O445">
            <v>0</v>
          </cell>
        </row>
        <row r="446">
          <cell r="O446">
            <v>0</v>
          </cell>
        </row>
        <row r="447">
          <cell r="O447">
            <v>0</v>
          </cell>
        </row>
        <row r="448">
          <cell r="O448">
            <v>0</v>
          </cell>
        </row>
        <row r="449">
          <cell r="O449">
            <v>0</v>
          </cell>
        </row>
        <row r="450">
          <cell r="O450">
            <v>0</v>
          </cell>
        </row>
        <row r="451">
          <cell r="O451">
            <v>0</v>
          </cell>
        </row>
        <row r="452">
          <cell r="O452">
            <v>0</v>
          </cell>
        </row>
        <row r="453">
          <cell r="O453">
            <v>0</v>
          </cell>
        </row>
        <row r="454">
          <cell r="O454">
            <v>0</v>
          </cell>
        </row>
        <row r="480">
          <cell r="O480">
            <v>39763.5871290509</v>
          </cell>
        </row>
        <row r="481">
          <cell r="O481">
            <v>0</v>
          </cell>
        </row>
        <row r="483">
          <cell r="O483">
            <v>0</v>
          </cell>
        </row>
        <row r="484">
          <cell r="O484">
            <v>0</v>
          </cell>
        </row>
        <row r="485">
          <cell r="O485">
            <v>0</v>
          </cell>
        </row>
        <row r="486">
          <cell r="O486">
            <v>0</v>
          </cell>
        </row>
        <row r="487">
          <cell r="O487">
            <v>0</v>
          </cell>
        </row>
        <row r="488">
          <cell r="O488">
            <v>0</v>
          </cell>
        </row>
        <row r="489">
          <cell r="O489">
            <v>0</v>
          </cell>
        </row>
        <row r="490">
          <cell r="O490">
            <v>0</v>
          </cell>
        </row>
        <row r="491">
          <cell r="O491">
            <v>0</v>
          </cell>
        </row>
        <row r="492">
          <cell r="O492">
            <v>0</v>
          </cell>
        </row>
        <row r="493">
          <cell r="O493">
            <v>0</v>
          </cell>
        </row>
        <row r="494">
          <cell r="O494">
            <v>0</v>
          </cell>
        </row>
        <row r="495">
          <cell r="O495">
            <v>0</v>
          </cell>
        </row>
        <row r="496">
          <cell r="O496">
            <v>0</v>
          </cell>
        </row>
        <row r="497">
          <cell r="O497">
            <v>0</v>
          </cell>
        </row>
        <row r="498">
          <cell r="O498">
            <v>0</v>
          </cell>
        </row>
        <row r="499">
          <cell r="O499">
            <v>5</v>
          </cell>
        </row>
        <row r="500">
          <cell r="O500">
            <v>0</v>
          </cell>
        </row>
        <row r="501">
          <cell r="O501">
            <v>0</v>
          </cell>
        </row>
        <row r="502">
          <cell r="O502">
            <v>0</v>
          </cell>
        </row>
        <row r="503">
          <cell r="O503">
            <v>0</v>
          </cell>
        </row>
        <row r="504">
          <cell r="O504">
            <v>0</v>
          </cell>
        </row>
        <row r="505">
          <cell r="O505">
            <v>0</v>
          </cell>
        </row>
        <row r="506">
          <cell r="O506">
            <v>0</v>
          </cell>
        </row>
        <row r="507">
          <cell r="O507">
            <v>0</v>
          </cell>
        </row>
        <row r="508">
          <cell r="O508">
            <v>0</v>
          </cell>
        </row>
        <row r="509">
          <cell r="O509">
            <v>0</v>
          </cell>
        </row>
        <row r="510">
          <cell r="O510">
            <v>0</v>
          </cell>
        </row>
        <row r="511">
          <cell r="O511">
            <v>0</v>
          </cell>
        </row>
        <row r="512">
          <cell r="O512">
            <v>0</v>
          </cell>
        </row>
        <row r="513">
          <cell r="O513">
            <v>0</v>
          </cell>
        </row>
        <row r="514">
          <cell r="O514">
            <v>0</v>
          </cell>
        </row>
        <row r="517">
          <cell r="O517">
            <v>6</v>
          </cell>
        </row>
        <row r="518">
          <cell r="O518">
            <v>39763.582321412</v>
          </cell>
        </row>
        <row r="532">
          <cell r="O532">
            <v>0</v>
          </cell>
        </row>
        <row r="533">
          <cell r="O533">
            <v>0</v>
          </cell>
        </row>
        <row r="534">
          <cell r="O534">
            <v>0</v>
          </cell>
        </row>
        <row r="535">
          <cell r="O535">
            <v>0</v>
          </cell>
        </row>
        <row r="536">
          <cell r="O536">
            <v>0</v>
          </cell>
        </row>
        <row r="537">
          <cell r="O537">
            <v>0</v>
          </cell>
        </row>
        <row r="538">
          <cell r="O538">
            <v>0</v>
          </cell>
        </row>
        <row r="539">
          <cell r="O539">
            <v>0</v>
          </cell>
        </row>
        <row r="540">
          <cell r="O540">
            <v>0</v>
          </cell>
        </row>
        <row r="541">
          <cell r="O541">
            <v>0</v>
          </cell>
        </row>
        <row r="542">
          <cell r="O542">
            <v>0</v>
          </cell>
        </row>
        <row r="543">
          <cell r="O543">
            <v>0</v>
          </cell>
        </row>
        <row r="544">
          <cell r="O544">
            <v>0</v>
          </cell>
        </row>
        <row r="545">
          <cell r="O545">
            <v>0</v>
          </cell>
        </row>
        <row r="546">
          <cell r="O546">
            <v>0</v>
          </cell>
        </row>
        <row r="547">
          <cell r="O547">
            <v>0</v>
          </cell>
        </row>
        <row r="548">
          <cell r="O548">
            <v>0</v>
          </cell>
        </row>
        <row r="549">
          <cell r="O549">
            <v>0</v>
          </cell>
        </row>
        <row r="550">
          <cell r="O550">
            <v>0</v>
          </cell>
        </row>
        <row r="551">
          <cell r="O551">
            <v>0</v>
          </cell>
        </row>
        <row r="552">
          <cell r="O552">
            <v>0</v>
          </cell>
        </row>
        <row r="553">
          <cell r="O553">
            <v>0</v>
          </cell>
        </row>
        <row r="554">
          <cell r="O554">
            <v>0</v>
          </cell>
        </row>
        <row r="555">
          <cell r="O555">
            <v>0</v>
          </cell>
        </row>
        <row r="556">
          <cell r="O556">
            <v>6</v>
          </cell>
        </row>
        <row r="557">
          <cell r="O557">
            <v>39763.581979166665</v>
          </cell>
        </row>
        <row r="558">
          <cell r="O558">
            <v>7</v>
          </cell>
        </row>
        <row r="559">
          <cell r="O559">
            <v>0</v>
          </cell>
        </row>
        <row r="560">
          <cell r="O560">
            <v>0</v>
          </cell>
        </row>
        <row r="561">
          <cell r="O561">
            <v>0</v>
          </cell>
        </row>
        <row r="562">
          <cell r="O562">
            <v>0</v>
          </cell>
        </row>
        <row r="563">
          <cell r="O563">
            <v>0</v>
          </cell>
        </row>
        <row r="564">
          <cell r="O564">
            <v>0</v>
          </cell>
        </row>
        <row r="565">
          <cell r="O565">
            <v>0</v>
          </cell>
        </row>
        <row r="566">
          <cell r="O566">
            <v>0</v>
          </cell>
        </row>
        <row r="567">
          <cell r="O567">
            <v>0</v>
          </cell>
        </row>
        <row r="568">
          <cell r="O568">
            <v>0</v>
          </cell>
        </row>
        <row r="569">
          <cell r="O569">
            <v>0</v>
          </cell>
        </row>
        <row r="570">
          <cell r="O570">
            <v>0</v>
          </cell>
        </row>
        <row r="571">
          <cell r="O571">
            <v>0</v>
          </cell>
        </row>
        <row r="572">
          <cell r="O572">
            <v>0</v>
          </cell>
        </row>
        <row r="573">
          <cell r="O573">
            <v>0</v>
          </cell>
        </row>
        <row r="574">
          <cell r="O574">
            <v>0</v>
          </cell>
        </row>
        <row r="575">
          <cell r="O575">
            <v>0</v>
          </cell>
        </row>
        <row r="576">
          <cell r="O576">
            <v>0</v>
          </cell>
        </row>
        <row r="577">
          <cell r="O577">
            <v>0</v>
          </cell>
        </row>
        <row r="578">
          <cell r="O578">
            <v>0</v>
          </cell>
        </row>
        <row r="579">
          <cell r="O579">
            <v>0</v>
          </cell>
        </row>
        <row r="580">
          <cell r="O580">
            <v>0</v>
          </cell>
        </row>
        <row r="581">
          <cell r="O581">
            <v>0</v>
          </cell>
        </row>
        <row r="582">
          <cell r="O582">
            <v>0</v>
          </cell>
        </row>
        <row r="583">
          <cell r="O583">
            <v>0</v>
          </cell>
        </row>
        <row r="584">
          <cell r="O584">
            <v>0</v>
          </cell>
        </row>
        <row r="585">
          <cell r="O585">
            <v>0</v>
          </cell>
        </row>
        <row r="586">
          <cell r="O586">
            <v>0</v>
          </cell>
        </row>
        <row r="587">
          <cell r="O587">
            <v>0</v>
          </cell>
        </row>
        <row r="588">
          <cell r="O588">
            <v>0</v>
          </cell>
        </row>
        <row r="589">
          <cell r="O589">
            <v>0</v>
          </cell>
        </row>
        <row r="590">
          <cell r="O590">
            <v>0</v>
          </cell>
        </row>
        <row r="591">
          <cell r="O591">
            <v>0</v>
          </cell>
        </row>
        <row r="592">
          <cell r="O592">
            <v>0</v>
          </cell>
        </row>
        <row r="593">
          <cell r="O593">
            <v>0</v>
          </cell>
        </row>
        <row r="594">
          <cell r="O594">
            <v>0</v>
          </cell>
        </row>
        <row r="595">
          <cell r="O595">
            <v>0</v>
          </cell>
        </row>
        <row r="596">
          <cell r="O596">
            <v>0</v>
          </cell>
        </row>
        <row r="597">
          <cell r="O597">
            <v>0</v>
          </cell>
        </row>
        <row r="598">
          <cell r="O598">
            <v>0</v>
          </cell>
        </row>
        <row r="599">
          <cell r="O599">
            <v>0</v>
          </cell>
        </row>
        <row r="600">
          <cell r="O600">
            <v>0</v>
          </cell>
        </row>
        <row r="601">
          <cell r="O601">
            <v>0</v>
          </cell>
        </row>
        <row r="602">
          <cell r="O602">
            <v>0</v>
          </cell>
        </row>
        <row r="603">
          <cell r="O603">
            <v>0</v>
          </cell>
        </row>
        <row r="604">
          <cell r="O604">
            <v>0</v>
          </cell>
        </row>
        <row r="605">
          <cell r="O605">
            <v>0</v>
          </cell>
        </row>
        <row r="606">
          <cell r="O606">
            <v>0</v>
          </cell>
        </row>
        <row r="607">
          <cell r="O607">
            <v>0</v>
          </cell>
        </row>
        <row r="608">
          <cell r="O608">
            <v>0</v>
          </cell>
        </row>
        <row r="609">
          <cell r="O609">
            <v>0</v>
          </cell>
        </row>
        <row r="610">
          <cell r="O610">
            <v>0</v>
          </cell>
        </row>
        <row r="611">
          <cell r="O611">
            <v>0</v>
          </cell>
        </row>
        <row r="612">
          <cell r="O612">
            <v>0</v>
          </cell>
        </row>
        <row r="613">
          <cell r="O613">
            <v>0</v>
          </cell>
        </row>
        <row r="614">
          <cell r="O614">
            <v>0</v>
          </cell>
        </row>
        <row r="615">
          <cell r="O615">
            <v>0</v>
          </cell>
        </row>
        <row r="616">
          <cell r="O616">
            <v>0</v>
          </cell>
        </row>
        <row r="617">
          <cell r="O617">
            <v>0</v>
          </cell>
        </row>
        <row r="618">
          <cell r="O618">
            <v>0</v>
          </cell>
        </row>
        <row r="619">
          <cell r="O619">
            <v>0</v>
          </cell>
        </row>
        <row r="620">
          <cell r="O620">
            <v>0</v>
          </cell>
        </row>
        <row r="621">
          <cell r="O621">
            <v>0</v>
          </cell>
        </row>
        <row r="622">
          <cell r="O622">
            <v>0</v>
          </cell>
        </row>
        <row r="623">
          <cell r="O623">
            <v>0</v>
          </cell>
        </row>
        <row r="624">
          <cell r="O624">
            <v>0</v>
          </cell>
        </row>
        <row r="625">
          <cell r="O625">
            <v>0</v>
          </cell>
        </row>
        <row r="626">
          <cell r="O626">
            <v>0</v>
          </cell>
        </row>
        <row r="627">
          <cell r="O627">
            <v>0</v>
          </cell>
        </row>
        <row r="628">
          <cell r="O628">
            <v>0</v>
          </cell>
        </row>
        <row r="653">
          <cell r="O653">
            <v>0</v>
          </cell>
        </row>
        <row r="654">
          <cell r="O654">
            <v>0</v>
          </cell>
        </row>
        <row r="655">
          <cell r="O655">
            <v>0</v>
          </cell>
        </row>
        <row r="656">
          <cell r="O656">
            <v>0</v>
          </cell>
        </row>
        <row r="657">
          <cell r="O657">
            <v>0</v>
          </cell>
        </row>
        <row r="658">
          <cell r="O658">
            <v>0</v>
          </cell>
        </row>
        <row r="659">
          <cell r="O659">
            <v>0</v>
          </cell>
        </row>
        <row r="660">
          <cell r="O660">
            <v>0</v>
          </cell>
        </row>
        <row r="661">
          <cell r="O661">
            <v>0</v>
          </cell>
        </row>
        <row r="662">
          <cell r="O662">
            <v>0</v>
          </cell>
        </row>
        <row r="663">
          <cell r="O663">
            <v>0</v>
          </cell>
        </row>
        <row r="664">
          <cell r="O664">
            <v>0</v>
          </cell>
        </row>
        <row r="665">
          <cell r="O665">
            <v>0</v>
          </cell>
        </row>
        <row r="666">
          <cell r="O666">
            <v>0</v>
          </cell>
        </row>
        <row r="667">
          <cell r="O667">
            <v>0</v>
          </cell>
        </row>
        <row r="668">
          <cell r="O668">
            <v>0</v>
          </cell>
        </row>
        <row r="669">
          <cell r="O669">
            <v>39629.4923688657</v>
          </cell>
        </row>
        <row r="682">
          <cell r="O682">
            <v>0</v>
          </cell>
        </row>
        <row r="683">
          <cell r="O683">
            <v>0</v>
          </cell>
        </row>
        <row r="684">
          <cell r="O684">
            <v>0</v>
          </cell>
        </row>
        <row r="685">
          <cell r="O685">
            <v>0</v>
          </cell>
        </row>
        <row r="686">
          <cell r="O686">
            <v>0</v>
          </cell>
        </row>
        <row r="687">
          <cell r="O687">
            <v>0</v>
          </cell>
        </row>
        <row r="688">
          <cell r="O688">
            <v>0</v>
          </cell>
        </row>
        <row r="689">
          <cell r="O689">
            <v>0</v>
          </cell>
        </row>
        <row r="690">
          <cell r="O690">
            <v>0</v>
          </cell>
        </row>
        <row r="691">
          <cell r="O691">
            <v>0</v>
          </cell>
        </row>
        <row r="692">
          <cell r="O692">
            <v>0</v>
          </cell>
        </row>
        <row r="693">
          <cell r="O693">
            <v>0</v>
          </cell>
        </row>
        <row r="694">
          <cell r="O694">
            <v>0</v>
          </cell>
        </row>
        <row r="695">
          <cell r="O695">
            <v>0</v>
          </cell>
        </row>
        <row r="696">
          <cell r="O696">
            <v>0</v>
          </cell>
        </row>
        <row r="697">
          <cell r="O697">
            <v>0</v>
          </cell>
        </row>
        <row r="698">
          <cell r="O698">
            <v>39763.5837962963</v>
          </cell>
        </row>
        <row r="703">
          <cell r="O703">
            <v>0</v>
          </cell>
        </row>
        <row r="704">
          <cell r="O704">
            <v>0</v>
          </cell>
        </row>
        <row r="799">
          <cell r="O799">
            <v>0.3</v>
          </cell>
        </row>
        <row r="800">
          <cell r="O800">
            <v>70.3117720241285</v>
          </cell>
        </row>
        <row r="801">
          <cell r="O801">
            <v>0.15</v>
          </cell>
        </row>
        <row r="1192">
          <cell r="O1192">
            <v>0</v>
          </cell>
        </row>
        <row r="1193">
          <cell r="O1193">
            <v>0</v>
          </cell>
        </row>
        <row r="1194">
          <cell r="O1194">
            <v>0</v>
          </cell>
        </row>
        <row r="1195">
          <cell r="O1195">
            <v>0</v>
          </cell>
        </row>
        <row r="1196">
          <cell r="O1196">
            <v>0</v>
          </cell>
        </row>
        <row r="1197">
          <cell r="O1197">
            <v>0</v>
          </cell>
        </row>
        <row r="1198">
          <cell r="O1198">
            <v>0</v>
          </cell>
        </row>
        <row r="1200">
          <cell r="O1200">
            <v>0</v>
          </cell>
        </row>
        <row r="1201">
          <cell r="O1201">
            <v>0</v>
          </cell>
        </row>
        <row r="1202">
          <cell r="O1202">
            <v>0</v>
          </cell>
        </row>
        <row r="1203">
          <cell r="O1203">
            <v>0</v>
          </cell>
        </row>
        <row r="1204">
          <cell r="O1204">
            <v>0</v>
          </cell>
        </row>
        <row r="1205">
          <cell r="O1205">
            <v>0</v>
          </cell>
        </row>
        <row r="1206">
          <cell r="O1206">
            <v>0</v>
          </cell>
        </row>
        <row r="1254">
          <cell r="O1254">
            <v>0.120763</v>
          </cell>
        </row>
      </sheetData>
      <sheetData sheetId="5">
        <row r="3">
          <cell r="C3" t="str">
            <v>FY08Q2 Templates</v>
          </cell>
        </row>
        <row r="4">
          <cell r="C4" t="str">
            <v>Spacecraft</v>
          </cell>
        </row>
        <row r="19">
          <cell r="E19">
            <v>2000</v>
          </cell>
        </row>
        <row r="47">
          <cell r="E47" t="str">
            <v>Single</v>
          </cell>
        </row>
        <row r="58">
          <cell r="E58" t="str">
            <v>NO</v>
          </cell>
        </row>
        <row r="98">
          <cell r="K98">
            <v>100</v>
          </cell>
        </row>
      </sheetData>
      <sheetData sheetId="12">
        <row r="20">
          <cell r="L20">
            <v>0</v>
          </cell>
        </row>
      </sheetData>
      <sheetData sheetId="13">
        <row r="5">
          <cell r="D5">
            <v>0</v>
          </cell>
        </row>
        <row r="11">
          <cell r="D11">
            <v>0</v>
          </cell>
        </row>
        <row r="12">
          <cell r="D12">
            <v>-0.001</v>
          </cell>
        </row>
        <row r="16">
          <cell r="D16">
            <v>0</v>
          </cell>
        </row>
        <row r="21">
          <cell r="D2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1"/>
  <sheetViews>
    <sheetView showGridLines="0" workbookViewId="0" topLeftCell="A1">
      <selection activeCell="A31" sqref="A3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B2:H25"/>
  <sheetViews>
    <sheetView showGridLines="0" workbookViewId="0" topLeftCell="A1">
      <selection activeCell="C29" sqref="C29"/>
    </sheetView>
  </sheetViews>
  <sheetFormatPr defaultColWidth="9.140625" defaultRowHeight="12.75"/>
  <cols>
    <col min="1" max="1" width="3.28125" style="0" customWidth="1"/>
    <col min="3" max="3" width="40.57421875" style="0" customWidth="1"/>
    <col min="7" max="7" width="24.7109375" style="0" customWidth="1"/>
    <col min="8" max="8" width="9.140625" style="607" customWidth="1"/>
  </cols>
  <sheetData>
    <row r="1" ht="13.5" thickBot="1"/>
    <row r="2" spans="4:8" ht="12.75">
      <c r="D2" s="608" t="s">
        <v>48</v>
      </c>
      <c r="E2" s="609" t="s">
        <v>50</v>
      </c>
      <c r="F2" s="609" t="s">
        <v>242</v>
      </c>
      <c r="G2" s="609" t="s">
        <v>243</v>
      </c>
      <c r="H2" s="610" t="s">
        <v>52</v>
      </c>
    </row>
    <row r="3" spans="4:8" ht="13.5" thickBot="1">
      <c r="D3" s="611" t="s">
        <v>54</v>
      </c>
      <c r="E3" s="612" t="s">
        <v>56</v>
      </c>
      <c r="F3" s="612" t="s">
        <v>244</v>
      </c>
      <c r="G3" s="612"/>
      <c r="H3" s="613" t="s">
        <v>245</v>
      </c>
    </row>
    <row r="4" spans="2:8" ht="12.75">
      <c r="B4" s="724" t="s">
        <v>152</v>
      </c>
      <c r="C4" s="614" t="s">
        <v>246</v>
      </c>
      <c r="D4" s="616">
        <v>150</v>
      </c>
      <c r="E4" s="617">
        <v>50</v>
      </c>
      <c r="F4" s="617">
        <v>70</v>
      </c>
      <c r="G4" s="617"/>
      <c r="H4" s="618">
        <v>70</v>
      </c>
    </row>
    <row r="5" spans="2:8" ht="12.75">
      <c r="B5" s="725"/>
      <c r="C5" s="619" t="s">
        <v>247</v>
      </c>
      <c r="D5" s="620">
        <v>170</v>
      </c>
      <c r="E5" s="621">
        <v>65</v>
      </c>
      <c r="F5" s="621">
        <v>70</v>
      </c>
      <c r="G5" s="621" t="s">
        <v>248</v>
      </c>
      <c r="H5" s="622">
        <v>90</v>
      </c>
    </row>
    <row r="6" spans="2:8" ht="12.75">
      <c r="B6" s="725"/>
      <c r="C6" s="619" t="s">
        <v>249</v>
      </c>
      <c r="D6" s="620">
        <v>120</v>
      </c>
      <c r="E6" s="621">
        <v>75</v>
      </c>
      <c r="F6" s="621">
        <v>300</v>
      </c>
      <c r="G6" s="621"/>
      <c r="H6" s="622">
        <v>60</v>
      </c>
    </row>
    <row r="7" spans="2:8" ht="12.75">
      <c r="B7" s="725"/>
      <c r="C7" s="619" t="s">
        <v>250</v>
      </c>
      <c r="D7" s="620">
        <v>120</v>
      </c>
      <c r="E7" s="621">
        <v>250</v>
      </c>
      <c r="F7" s="621">
        <v>5</v>
      </c>
      <c r="G7" s="621"/>
      <c r="H7" s="622">
        <v>70</v>
      </c>
    </row>
    <row r="8" spans="2:8" ht="12.75">
      <c r="B8" s="725"/>
      <c r="C8" s="619" t="s">
        <v>251</v>
      </c>
      <c r="D8" s="620">
        <v>350</v>
      </c>
      <c r="E8" s="621">
        <v>200</v>
      </c>
      <c r="F8" s="621">
        <v>400000</v>
      </c>
      <c r="G8" s="621" t="s">
        <v>252</v>
      </c>
      <c r="H8" s="622">
        <v>300</v>
      </c>
    </row>
    <row r="9" spans="2:8" ht="12.75">
      <c r="B9" s="725"/>
      <c r="C9" s="619" t="s">
        <v>253</v>
      </c>
      <c r="D9" s="620">
        <v>10</v>
      </c>
      <c r="E9" s="621">
        <v>10</v>
      </c>
      <c r="F9" s="621">
        <v>600</v>
      </c>
      <c r="G9" s="621"/>
      <c r="H9" s="622">
        <v>20</v>
      </c>
    </row>
    <row r="10" spans="2:8" ht="12.75">
      <c r="B10" s="725"/>
      <c r="C10" s="619" t="s">
        <v>254</v>
      </c>
      <c r="D10" s="620">
        <v>40</v>
      </c>
      <c r="E10" s="621">
        <v>30</v>
      </c>
      <c r="F10" s="621">
        <v>3000</v>
      </c>
      <c r="G10" s="621"/>
      <c r="H10" s="622">
        <v>30</v>
      </c>
    </row>
    <row r="11" spans="2:8" ht="12.75">
      <c r="B11" s="725"/>
      <c r="C11" s="619" t="s">
        <v>255</v>
      </c>
      <c r="D11" s="620">
        <v>40</v>
      </c>
      <c r="E11" s="621">
        <v>30</v>
      </c>
      <c r="F11" s="621">
        <v>3000</v>
      </c>
      <c r="G11" s="621"/>
      <c r="H11" s="622">
        <v>20</v>
      </c>
    </row>
    <row r="12" spans="2:8" ht="13.5" thickBot="1">
      <c r="B12" s="726"/>
      <c r="C12" s="623" t="s">
        <v>256</v>
      </c>
      <c r="D12" s="624">
        <v>40</v>
      </c>
      <c r="E12" s="625">
        <v>30</v>
      </c>
      <c r="F12" s="625">
        <v>3000</v>
      </c>
      <c r="G12" s="625"/>
      <c r="H12" s="626">
        <v>40</v>
      </c>
    </row>
    <row r="13" spans="2:8" ht="13.5" thickBot="1">
      <c r="B13" s="627"/>
      <c r="H13" s="628"/>
    </row>
    <row r="14" spans="2:8" ht="12.75">
      <c r="B14" s="727" t="s">
        <v>257</v>
      </c>
      <c r="C14" s="629" t="s">
        <v>258</v>
      </c>
      <c r="D14" s="630">
        <v>30</v>
      </c>
      <c r="E14" s="617">
        <v>25</v>
      </c>
      <c r="F14" s="617" t="s">
        <v>259</v>
      </c>
      <c r="G14" s="617"/>
      <c r="H14" s="618">
        <v>20</v>
      </c>
    </row>
    <row r="15" spans="2:8" ht="12.75">
      <c r="B15" s="728"/>
      <c r="C15" s="631" t="s">
        <v>260</v>
      </c>
      <c r="D15" s="632">
        <v>150</v>
      </c>
      <c r="E15" s="621">
        <v>75</v>
      </c>
      <c r="F15" s="621" t="s">
        <v>259</v>
      </c>
      <c r="G15" s="621"/>
      <c r="H15" s="622">
        <v>50</v>
      </c>
    </row>
    <row r="16" spans="2:8" ht="12.75">
      <c r="B16" s="728"/>
      <c r="C16" s="631" t="s">
        <v>261</v>
      </c>
      <c r="D16" s="632">
        <v>300</v>
      </c>
      <c r="E16" s="621">
        <v>225</v>
      </c>
      <c r="F16" s="621" t="s">
        <v>259</v>
      </c>
      <c r="G16" s="621"/>
      <c r="H16" s="622">
        <v>150</v>
      </c>
    </row>
    <row r="17" spans="2:8" ht="12.75">
      <c r="B17" s="728"/>
      <c r="C17" s="631" t="s">
        <v>262</v>
      </c>
      <c r="D17" s="632">
        <v>700</v>
      </c>
      <c r="E17" s="621">
        <v>300</v>
      </c>
      <c r="F17" s="621" t="s">
        <v>259</v>
      </c>
      <c r="G17" s="621"/>
      <c r="H17" s="622">
        <v>500</v>
      </c>
    </row>
    <row r="18" spans="2:8" ht="13.5" thickBot="1">
      <c r="B18" s="729"/>
      <c r="C18" s="633" t="s">
        <v>263</v>
      </c>
      <c r="D18" s="634">
        <v>2000</v>
      </c>
      <c r="E18" s="625">
        <v>400</v>
      </c>
      <c r="F18" s="625" t="s">
        <v>259</v>
      </c>
      <c r="G18" s="625" t="s">
        <v>264</v>
      </c>
      <c r="H18" s="626">
        <v>1500</v>
      </c>
    </row>
    <row r="20" ht="12.75">
      <c r="C20" t="s">
        <v>265</v>
      </c>
    </row>
    <row r="21" ht="12.75">
      <c r="C21" t="s">
        <v>266</v>
      </c>
    </row>
    <row r="22" ht="12.75">
      <c r="C22" t="s">
        <v>267</v>
      </c>
    </row>
    <row r="23" ht="12.75">
      <c r="C23" t="s">
        <v>268</v>
      </c>
    </row>
    <row r="24" ht="12.75">
      <c r="C24" t="s">
        <v>269</v>
      </c>
    </row>
    <row r="25" ht="12.75">
      <c r="C25" t="s">
        <v>270</v>
      </c>
    </row>
  </sheetData>
  <mergeCells count="2">
    <mergeCell ref="B4:B12"/>
    <mergeCell ref="B14:B18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1"/>
  <sheetViews>
    <sheetView showGridLines="0" workbookViewId="0" topLeftCell="A1">
      <selection activeCell="G29" sqref="G2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1"/>
  </sheetPr>
  <dimension ref="A1:A1"/>
  <sheetViews>
    <sheetView showGridLines="0" tabSelected="1" workbookViewId="0" topLeftCell="A1">
      <selection activeCell="B29" sqref="B2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>
    <tabColor indexed="43"/>
    <outlinePr summaryBelow="0" summaryRight="0"/>
    <pageSetUpPr fitToPage="1"/>
  </sheetPr>
  <dimension ref="A2:BG144"/>
  <sheetViews>
    <sheetView showGridLines="0" zoomScale="75" zoomScaleNormal="75" workbookViewId="0" topLeftCell="A1">
      <selection activeCell="L78" sqref="L78"/>
    </sheetView>
  </sheetViews>
  <sheetFormatPr defaultColWidth="10.8515625" defaultRowHeight="12.75" outlineLevelRow="1" outlineLevelCol="1"/>
  <cols>
    <col min="1" max="1" width="1.8515625" style="1" customWidth="1"/>
    <col min="2" max="2" width="13.00390625" style="1" customWidth="1"/>
    <col min="3" max="3" width="17.140625" style="1" customWidth="1"/>
    <col min="4" max="4" width="15.57421875" style="1" customWidth="1"/>
    <col min="5" max="5" width="12.421875" style="1" customWidth="1"/>
    <col min="6" max="9" width="9.8515625" style="1" hidden="1" customWidth="1"/>
    <col min="10" max="10" width="12.421875" style="1" customWidth="1"/>
    <col min="11" max="11" width="13.421875" style="1" customWidth="1"/>
    <col min="12" max="12" width="15.00390625" style="1" customWidth="1"/>
    <col min="13" max="18" width="12.7109375" style="1" customWidth="1"/>
    <col min="19" max="22" width="12.7109375" style="1" hidden="1" customWidth="1"/>
    <col min="23" max="23" width="0.85546875" style="1" hidden="1" customWidth="1"/>
    <col min="24" max="24" width="1.57421875" style="0" hidden="1" customWidth="1"/>
    <col min="25" max="25" width="3.57421875" style="0" hidden="1" customWidth="1"/>
    <col min="26" max="26" width="15.8515625" style="1" hidden="1" customWidth="1"/>
    <col min="27" max="27" width="16.8515625" style="1" hidden="1" customWidth="1"/>
    <col min="28" max="28" width="18.421875" style="1" hidden="1" customWidth="1"/>
    <col min="29" max="29" width="3.140625" style="1" hidden="1" customWidth="1"/>
    <col min="30" max="30" width="4.140625" style="1" hidden="1" customWidth="1"/>
    <col min="31" max="31" width="20.00390625" style="1" hidden="1" customWidth="1"/>
    <col min="32" max="32" width="5.421875" style="1" hidden="1" customWidth="1"/>
    <col min="33" max="33" width="14.00390625" style="1" hidden="1" customWidth="1"/>
    <col min="34" max="34" width="10.8515625" style="1" hidden="1" customWidth="1"/>
    <col min="35" max="35" width="10.8515625" style="1" hidden="1" customWidth="1" collapsed="1"/>
    <col min="36" max="45" width="10.8515625" style="1" hidden="1" customWidth="1" outlineLevel="1"/>
    <col min="46" max="46" width="4.421875" style="1" hidden="1" customWidth="1"/>
    <col min="47" max="47" width="10.8515625" style="1" hidden="1" customWidth="1"/>
    <col min="48" max="48" width="15.57421875" style="1" hidden="1" customWidth="1"/>
    <col min="49" max="49" width="10.8515625" style="1" hidden="1" customWidth="1"/>
    <col min="50" max="59" width="10.8515625" style="1" hidden="1" customWidth="1" outlineLevel="1"/>
    <col min="60" max="63" width="0" style="1" hidden="1" customWidth="1"/>
    <col min="64" max="16384" width="10.8515625" style="1" customWidth="1"/>
  </cols>
  <sheetData>
    <row r="1" ht="8.25" customHeight="1" thickBot="1"/>
    <row r="2" spans="1:28" s="10" customFormat="1" ht="18.75">
      <c r="A2" s="2"/>
      <c r="B2" s="3" t="s">
        <v>0</v>
      </c>
      <c r="C2" s="4"/>
      <c r="D2" s="5"/>
      <c r="E2" s="5"/>
      <c r="F2" s="5"/>
      <c r="G2" s="5"/>
      <c r="H2" s="5"/>
      <c r="I2" s="5"/>
      <c r="J2" s="5"/>
      <c r="K2" s="5"/>
      <c r="L2" s="6" t="str">
        <f>'[1]Guidelines'!C3</f>
        <v>FY08Q2 Templates</v>
      </c>
      <c r="M2" s="4"/>
      <c r="N2" s="5"/>
      <c r="O2" s="5"/>
      <c r="P2" s="5"/>
      <c r="Q2" s="5"/>
      <c r="R2" s="7"/>
      <c r="S2" s="7"/>
      <c r="T2" s="5"/>
      <c r="U2" s="5"/>
      <c r="V2" s="7"/>
      <c r="W2" s="8"/>
      <c r="X2"/>
      <c r="Y2"/>
      <c r="Z2" s="9"/>
      <c r="AA2" s="9"/>
      <c r="AB2" s="9"/>
    </row>
    <row r="3" spans="1:28" s="10" customFormat="1" ht="19.5" thickBot="1">
      <c r="A3" s="11"/>
      <c r="B3" s="12"/>
      <c r="C3" s="13"/>
      <c r="D3" s="14"/>
      <c r="E3" s="14"/>
      <c r="F3" s="14"/>
      <c r="G3" s="14"/>
      <c r="H3" s="14"/>
      <c r="I3" s="14"/>
      <c r="J3" s="14"/>
      <c r="K3" s="14"/>
      <c r="L3" s="15" t="str">
        <f>'[1]Guidelines'!C4</f>
        <v>Spacecraft</v>
      </c>
      <c r="M3" s="13"/>
      <c r="N3" s="14"/>
      <c r="O3" s="14"/>
      <c r="P3" s="14"/>
      <c r="Q3" s="14"/>
      <c r="R3" s="16"/>
      <c r="S3" s="16"/>
      <c r="T3" s="14"/>
      <c r="U3" s="14"/>
      <c r="V3" s="16"/>
      <c r="W3" s="17"/>
      <c r="X3"/>
      <c r="Y3"/>
      <c r="Z3" s="9"/>
      <c r="AA3" s="9"/>
      <c r="AB3" s="9"/>
    </row>
    <row r="4" spans="1:28" s="24" customFormat="1" ht="15" customHeight="1" hidden="1">
      <c r="A4" s="18"/>
      <c r="B4" s="19"/>
      <c r="C4" s="20"/>
      <c r="D4" s="21"/>
      <c r="E4" s="21"/>
      <c r="F4" s="21"/>
      <c r="G4" s="21"/>
      <c r="H4" s="21"/>
      <c r="I4" s="21"/>
      <c r="J4" s="21"/>
      <c r="K4" s="21"/>
      <c r="L4" s="22"/>
      <c r="M4" s="20"/>
      <c r="N4" s="21"/>
      <c r="O4" s="21"/>
      <c r="P4" s="21"/>
      <c r="Q4" s="21"/>
      <c r="R4" s="21"/>
      <c r="S4" s="23"/>
      <c r="T4" s="21"/>
      <c r="U4" s="21"/>
      <c r="V4" s="23"/>
      <c r="W4" s="18"/>
      <c r="X4"/>
      <c r="Y4"/>
      <c r="Z4" s="21"/>
      <c r="AA4" s="21"/>
      <c r="AB4" s="18"/>
    </row>
    <row r="5" spans="2:27" ht="15.75" hidden="1">
      <c r="B5" s="25" t="s">
        <v>1</v>
      </c>
      <c r="C5" s="730" t="s">
        <v>2</v>
      </c>
      <c r="D5" s="733"/>
      <c r="E5" s="26"/>
      <c r="F5" s="27"/>
      <c r="G5" s="27"/>
      <c r="H5" s="27"/>
      <c r="I5" s="27"/>
      <c r="J5" s="28" t="s">
        <v>3</v>
      </c>
      <c r="K5" s="29">
        <v>39114</v>
      </c>
      <c r="L5" s="26"/>
      <c r="M5" s="26"/>
      <c r="N5" s="28" t="s">
        <v>4</v>
      </c>
      <c r="O5" s="730" t="s">
        <v>5</v>
      </c>
      <c r="P5" s="731"/>
      <c r="Q5" s="731"/>
      <c r="R5" s="731"/>
      <c r="S5" s="732"/>
      <c r="T5" s="26"/>
      <c r="U5" s="26"/>
      <c r="V5" s="30"/>
      <c r="Z5" s="20"/>
      <c r="AA5" s="20"/>
    </row>
    <row r="6" spans="2:22" ht="15.75" hidden="1">
      <c r="B6" s="31"/>
      <c r="C6" s="27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0"/>
      <c r="P6" s="26"/>
      <c r="Q6" s="26"/>
      <c r="R6" s="26"/>
      <c r="S6" s="30"/>
      <c r="T6" s="26"/>
      <c r="U6" s="26"/>
      <c r="V6" s="30"/>
    </row>
    <row r="7" spans="2:22" ht="15.75" hidden="1">
      <c r="B7" s="32"/>
      <c r="C7" s="33" t="s">
        <v>6</v>
      </c>
      <c r="D7" s="34" t="s">
        <v>7</v>
      </c>
      <c r="E7" s="35"/>
      <c r="F7" s="35"/>
      <c r="G7" s="35"/>
      <c r="H7" s="35"/>
      <c r="I7" s="35"/>
      <c r="J7" s="36"/>
      <c r="K7" s="36"/>
      <c r="L7" s="33" t="s">
        <v>8</v>
      </c>
      <c r="M7" s="34" t="s">
        <v>9</v>
      </c>
      <c r="N7" s="37"/>
      <c r="O7" s="37"/>
      <c r="P7" s="36"/>
      <c r="Q7" s="38" t="s">
        <v>10</v>
      </c>
      <c r="R7" s="39">
        <f>(1+'[1]Guidelines'!K98)/12</f>
        <v>8.416666666666666</v>
      </c>
      <c r="S7" s="40" t="s">
        <v>11</v>
      </c>
      <c r="T7" s="37"/>
      <c r="U7" s="37"/>
      <c r="V7" s="40"/>
    </row>
    <row r="8" spans="2:22" ht="15.75" hidden="1">
      <c r="B8" s="31"/>
      <c r="C8" s="41" t="s">
        <v>12</v>
      </c>
      <c r="D8" s="42" t="s">
        <v>7</v>
      </c>
      <c r="E8" s="43"/>
      <c r="F8" s="43"/>
      <c r="G8" s="43"/>
      <c r="H8" s="43"/>
      <c r="I8" s="43"/>
      <c r="J8" s="27"/>
      <c r="K8" s="27"/>
      <c r="L8" s="41" t="s">
        <v>13</v>
      </c>
      <c r="M8" s="42" t="s">
        <v>9</v>
      </c>
      <c r="N8" s="26"/>
      <c r="O8" s="26"/>
      <c r="P8" s="26"/>
      <c r="Q8" s="41" t="s">
        <v>14</v>
      </c>
      <c r="R8" s="44">
        <f>'[1]Inputs'!O237</f>
        <v>0</v>
      </c>
      <c r="S8" s="45" t="s">
        <v>15</v>
      </c>
      <c r="T8" s="26"/>
      <c r="U8" s="26"/>
      <c r="V8" s="30"/>
    </row>
    <row r="9" spans="2:22" ht="15.75" hidden="1">
      <c r="B9" s="31"/>
      <c r="C9" s="27"/>
      <c r="D9" s="27"/>
      <c r="E9" s="21"/>
      <c r="F9" s="21"/>
      <c r="G9" s="21"/>
      <c r="H9" s="21"/>
      <c r="I9" s="21"/>
      <c r="J9" s="27"/>
      <c r="K9" s="27"/>
      <c r="L9" s="26"/>
      <c r="M9" s="26"/>
      <c r="N9" s="26"/>
      <c r="O9" s="26"/>
      <c r="P9" s="26"/>
      <c r="Q9" s="46" t="s">
        <v>16</v>
      </c>
      <c r="R9" s="47">
        <f>'[1]Data Loop'!D12</f>
        <v>-0.001</v>
      </c>
      <c r="S9" s="30" t="str">
        <f>"kbps ("&amp;'[1]Data Loop'!D11&amp;")"</f>
        <v>kbps (0)</v>
      </c>
      <c r="T9" s="26"/>
      <c r="U9" s="26"/>
      <c r="V9" s="30"/>
    </row>
    <row r="10" spans="2:22" ht="15.75" hidden="1">
      <c r="B10" s="31"/>
      <c r="C10" s="41" t="s">
        <v>17</v>
      </c>
      <c r="D10" s="48">
        <f>'[1]Inputs'!O442</f>
        <v>0</v>
      </c>
      <c r="E10" s="27" t="s">
        <v>18</v>
      </c>
      <c r="F10" s="49"/>
      <c r="G10" s="49"/>
      <c r="H10" s="49"/>
      <c r="I10" s="49"/>
      <c r="J10" s="27"/>
      <c r="K10" s="27"/>
      <c r="L10" s="46" t="s">
        <v>19</v>
      </c>
      <c r="M10" s="50" t="str">
        <f>IF('[1]Radiation'!L20=0,"TBD",'[1]Radiation'!L20)</f>
        <v>TBD</v>
      </c>
      <c r="N10" s="51"/>
      <c r="O10" s="51"/>
      <c r="P10" s="51"/>
      <c r="Q10" s="46" t="s">
        <v>20</v>
      </c>
      <c r="R10" s="47">
        <f>'[1]Data Loop'!D16</f>
        <v>0</v>
      </c>
      <c r="S10" s="30" t="s">
        <v>21</v>
      </c>
      <c r="T10" s="51"/>
      <c r="U10" s="26"/>
      <c r="V10" s="30"/>
    </row>
    <row r="11" spans="2:22" ht="15.75" hidden="1">
      <c r="B11" s="31"/>
      <c r="C11" s="41" t="s">
        <v>22</v>
      </c>
      <c r="D11" s="48">
        <f>'[1]Inputs'!O443</f>
        <v>0</v>
      </c>
      <c r="E11" s="27" t="s">
        <v>18</v>
      </c>
      <c r="F11" s="49"/>
      <c r="G11" s="49"/>
      <c r="H11" s="49"/>
      <c r="I11" s="49"/>
      <c r="J11" s="27"/>
      <c r="K11" s="52"/>
      <c r="L11" s="46" t="s">
        <v>23</v>
      </c>
      <c r="M11" s="53" t="str">
        <f>'[1]Guidelines'!E47</f>
        <v>Single</v>
      </c>
      <c r="N11" s="51"/>
      <c r="O11" s="52"/>
      <c r="P11" s="51"/>
      <c r="Q11" s="41" t="s">
        <v>24</v>
      </c>
      <c r="R11" s="54">
        <f>'[1]Inputs'!O487</f>
        <v>0</v>
      </c>
      <c r="S11" s="30" t="s">
        <v>25</v>
      </c>
      <c r="T11" s="51"/>
      <c r="U11" s="26"/>
      <c r="V11" s="30"/>
    </row>
    <row r="12" spans="2:22" ht="15.75" hidden="1">
      <c r="B12" s="31"/>
      <c r="C12" s="41" t="s">
        <v>26</v>
      </c>
      <c r="D12" s="48">
        <f>'[1]Inputs'!O444</f>
        <v>0</v>
      </c>
      <c r="E12" s="27" t="s">
        <v>27</v>
      </c>
      <c r="F12" s="49"/>
      <c r="G12" s="49"/>
      <c r="H12" s="49"/>
      <c r="I12" s="49"/>
      <c r="J12" s="27"/>
      <c r="K12" s="27"/>
      <c r="L12" s="26"/>
      <c r="M12" s="26"/>
      <c r="N12" s="51"/>
      <c r="O12" s="51"/>
      <c r="P12" s="51"/>
      <c r="Q12" s="41" t="s">
        <v>28</v>
      </c>
      <c r="R12" s="44">
        <f>'[1]Data Loop'!D5</f>
        <v>0</v>
      </c>
      <c r="S12" s="45" t="s">
        <v>15</v>
      </c>
      <c r="T12" s="51"/>
      <c r="U12" s="26"/>
      <c r="V12" s="30"/>
    </row>
    <row r="13" spans="2:22" ht="16.5" hidden="1" thickBot="1">
      <c r="B13" s="55"/>
      <c r="C13" s="56" t="s">
        <v>29</v>
      </c>
      <c r="D13" s="57" t="s">
        <v>9</v>
      </c>
      <c r="E13" s="58"/>
      <c r="F13" s="58"/>
      <c r="G13" s="58"/>
      <c r="H13" s="58"/>
      <c r="I13" s="58"/>
      <c r="J13" s="59"/>
      <c r="K13" s="59"/>
      <c r="L13" s="60" t="s">
        <v>30</v>
      </c>
      <c r="M13" s="61">
        <f>'[1]Guidelines'!E19</f>
        <v>2000</v>
      </c>
      <c r="N13" s="62"/>
      <c r="O13" s="62"/>
      <c r="P13" s="62"/>
      <c r="Q13" s="60" t="s">
        <v>31</v>
      </c>
      <c r="R13" s="63">
        <f>'[1]Data Loop'!D21</f>
        <v>0</v>
      </c>
      <c r="S13" s="64" t="s">
        <v>32</v>
      </c>
      <c r="T13" s="62"/>
      <c r="U13" s="65"/>
      <c r="V13" s="64"/>
    </row>
    <row r="14" spans="2:25" s="24" customFormat="1" ht="16.5" thickBot="1">
      <c r="B14" s="66"/>
      <c r="C14" s="67"/>
      <c r="D14" s="67"/>
      <c r="E14" s="67"/>
      <c r="F14" s="67"/>
      <c r="G14" s="67"/>
      <c r="H14" s="67"/>
      <c r="I14" s="67"/>
      <c r="J14" s="67"/>
      <c r="K14" s="67"/>
      <c r="L14" s="68"/>
      <c r="M14" s="69"/>
      <c r="N14" s="67"/>
      <c r="O14" s="67"/>
      <c r="P14" s="67"/>
      <c r="Q14" s="70"/>
      <c r="R14" s="71"/>
      <c r="S14" s="72"/>
      <c r="T14" s="20"/>
      <c r="U14" s="20"/>
      <c r="V14" s="73"/>
      <c r="X14"/>
      <c r="Y14"/>
    </row>
    <row r="15" spans="2:59" ht="15.75">
      <c r="B15" s="74"/>
      <c r="C15" s="75"/>
      <c r="D15" s="75"/>
      <c r="E15" s="75"/>
      <c r="F15" s="76"/>
      <c r="G15" s="76"/>
      <c r="H15" s="76"/>
      <c r="I15" s="76"/>
      <c r="J15" s="77"/>
      <c r="K15" s="78" t="s">
        <v>33</v>
      </c>
      <c r="L15" s="79" t="s">
        <v>34</v>
      </c>
      <c r="M15" s="80" t="s">
        <v>35</v>
      </c>
      <c r="N15" s="78" t="s">
        <v>36</v>
      </c>
      <c r="O15" s="78" t="s">
        <v>37</v>
      </c>
      <c r="P15" s="78" t="s">
        <v>38</v>
      </c>
      <c r="Q15" s="78" t="s">
        <v>39</v>
      </c>
      <c r="R15" s="78" t="s">
        <v>40</v>
      </c>
      <c r="S15" s="79" t="s">
        <v>41</v>
      </c>
      <c r="T15" s="81" t="s">
        <v>42</v>
      </c>
      <c r="U15" s="78" t="s">
        <v>43</v>
      </c>
      <c r="V15" s="79" t="s">
        <v>44</v>
      </c>
      <c r="W15" s="82"/>
      <c r="Z15" s="734" t="s">
        <v>45</v>
      </c>
      <c r="AA15" s="78" t="s">
        <v>46</v>
      </c>
      <c r="AB15" s="79" t="s">
        <v>47</v>
      </c>
      <c r="AE15" s="26"/>
      <c r="AF15" s="83"/>
      <c r="AG15" s="77"/>
      <c r="AH15" s="78" t="s">
        <v>33</v>
      </c>
      <c r="AI15" s="79" t="s">
        <v>34</v>
      </c>
      <c r="AJ15" s="80" t="s">
        <v>35</v>
      </c>
      <c r="AK15" s="78" t="s">
        <v>36</v>
      </c>
      <c r="AL15" s="78" t="s">
        <v>37</v>
      </c>
      <c r="AM15" s="78" t="s">
        <v>38</v>
      </c>
      <c r="AN15" s="78" t="s">
        <v>39</v>
      </c>
      <c r="AO15" s="78" t="s">
        <v>40</v>
      </c>
      <c r="AP15" s="78" t="s">
        <v>41</v>
      </c>
      <c r="AQ15" s="78" t="s">
        <v>42</v>
      </c>
      <c r="AR15" s="78" t="s">
        <v>43</v>
      </c>
      <c r="AS15" s="79" t="s">
        <v>44</v>
      </c>
      <c r="AT15" s="83"/>
      <c r="AU15" s="77"/>
      <c r="AV15" s="78" t="s">
        <v>33</v>
      </c>
      <c r="AW15" s="79" t="s">
        <v>34</v>
      </c>
      <c r="AX15" s="80" t="s">
        <v>35</v>
      </c>
      <c r="AY15" s="78" t="s">
        <v>36</v>
      </c>
      <c r="AZ15" s="78" t="s">
        <v>37</v>
      </c>
      <c r="BA15" s="78" t="s">
        <v>38</v>
      </c>
      <c r="BB15" s="78" t="s">
        <v>39</v>
      </c>
      <c r="BC15" s="78" t="s">
        <v>40</v>
      </c>
      <c r="BD15" s="78" t="s">
        <v>41</v>
      </c>
      <c r="BE15" s="78" t="s">
        <v>42</v>
      </c>
      <c r="BF15" s="78" t="s">
        <v>43</v>
      </c>
      <c r="BG15" s="79" t="s">
        <v>44</v>
      </c>
    </row>
    <row r="16" spans="2:59" ht="15.75">
      <c r="B16" s="84"/>
      <c r="C16" s="85"/>
      <c r="D16" s="85"/>
      <c r="E16" s="85"/>
      <c r="F16" s="86"/>
      <c r="G16" s="86"/>
      <c r="H16" s="86"/>
      <c r="I16" s="86"/>
      <c r="J16" s="87" t="s">
        <v>48</v>
      </c>
      <c r="K16" s="88" t="s">
        <v>49</v>
      </c>
      <c r="L16" s="89" t="s">
        <v>49</v>
      </c>
      <c r="M16" s="87" t="s">
        <v>50</v>
      </c>
      <c r="N16" s="88" t="s">
        <v>50</v>
      </c>
      <c r="O16" s="88" t="s">
        <v>50</v>
      </c>
      <c r="P16" s="88" t="s">
        <v>50</v>
      </c>
      <c r="Q16" s="88" t="s">
        <v>50</v>
      </c>
      <c r="R16" s="88" t="s">
        <v>50</v>
      </c>
      <c r="S16" s="89" t="s">
        <v>50</v>
      </c>
      <c r="T16" s="90" t="s">
        <v>50</v>
      </c>
      <c r="U16" s="88" t="s">
        <v>50</v>
      </c>
      <c r="V16" s="89" t="s">
        <v>50</v>
      </c>
      <c r="W16" s="91" t="s">
        <v>51</v>
      </c>
      <c r="Z16" s="735"/>
      <c r="AA16" s="88" t="s">
        <v>52</v>
      </c>
      <c r="AB16" s="89" t="s">
        <v>53</v>
      </c>
      <c r="AE16" s="92"/>
      <c r="AF16" s="83"/>
      <c r="AG16" s="87" t="s">
        <v>48</v>
      </c>
      <c r="AH16" s="88" t="s">
        <v>49</v>
      </c>
      <c r="AI16" s="89" t="s">
        <v>49</v>
      </c>
      <c r="AJ16" s="87" t="s">
        <v>50</v>
      </c>
      <c r="AK16" s="88" t="s">
        <v>50</v>
      </c>
      <c r="AL16" s="88" t="s">
        <v>50</v>
      </c>
      <c r="AM16" s="88" t="s">
        <v>50</v>
      </c>
      <c r="AN16" s="88" t="s">
        <v>50</v>
      </c>
      <c r="AO16" s="88" t="s">
        <v>50</v>
      </c>
      <c r="AP16" s="88" t="s">
        <v>50</v>
      </c>
      <c r="AQ16" s="88" t="s">
        <v>50</v>
      </c>
      <c r="AR16" s="88" t="s">
        <v>50</v>
      </c>
      <c r="AS16" s="89" t="s">
        <v>50</v>
      </c>
      <c r="AT16" s="83"/>
      <c r="AU16" s="87" t="s">
        <v>48</v>
      </c>
      <c r="AV16" s="88" t="s">
        <v>49</v>
      </c>
      <c r="AW16" s="89" t="s">
        <v>49</v>
      </c>
      <c r="AX16" s="87" t="s">
        <v>50</v>
      </c>
      <c r="AY16" s="88" t="s">
        <v>50</v>
      </c>
      <c r="AZ16" s="88" t="s">
        <v>50</v>
      </c>
      <c r="BA16" s="88" t="s">
        <v>50</v>
      </c>
      <c r="BB16" s="88" t="s">
        <v>50</v>
      </c>
      <c r="BC16" s="88" t="s">
        <v>50</v>
      </c>
      <c r="BD16" s="88" t="s">
        <v>50</v>
      </c>
      <c r="BE16" s="88" t="s">
        <v>50</v>
      </c>
      <c r="BF16" s="88" t="s">
        <v>50</v>
      </c>
      <c r="BG16" s="89" t="s">
        <v>50</v>
      </c>
    </row>
    <row r="17" spans="2:59" ht="16.5" thickBot="1">
      <c r="B17" s="84"/>
      <c r="C17" s="85"/>
      <c r="D17" s="85"/>
      <c r="E17" s="85"/>
      <c r="F17" s="86"/>
      <c r="G17" s="86"/>
      <c r="H17" s="86"/>
      <c r="I17" s="86"/>
      <c r="J17" s="87" t="s">
        <v>54</v>
      </c>
      <c r="K17" s="88" t="s">
        <v>55</v>
      </c>
      <c r="L17" s="89" t="s">
        <v>54</v>
      </c>
      <c r="M17" s="87" t="s">
        <v>56</v>
      </c>
      <c r="N17" s="88" t="s">
        <v>56</v>
      </c>
      <c r="O17" s="88" t="s">
        <v>56</v>
      </c>
      <c r="P17" s="88" t="s">
        <v>56</v>
      </c>
      <c r="Q17" s="88" t="s">
        <v>56</v>
      </c>
      <c r="R17" s="88" t="s">
        <v>56</v>
      </c>
      <c r="S17" s="89" t="s">
        <v>56</v>
      </c>
      <c r="T17" s="90" t="s">
        <v>56</v>
      </c>
      <c r="U17" s="88" t="s">
        <v>56</v>
      </c>
      <c r="V17" s="89" t="s">
        <v>56</v>
      </c>
      <c r="W17" s="91"/>
      <c r="Z17" s="735"/>
      <c r="AA17" s="88" t="s">
        <v>57</v>
      </c>
      <c r="AB17" s="89"/>
      <c r="AE17" s="92"/>
      <c r="AF17" s="83"/>
      <c r="AG17" s="87" t="s">
        <v>54</v>
      </c>
      <c r="AH17" s="88" t="s">
        <v>55</v>
      </c>
      <c r="AI17" s="89" t="s">
        <v>54</v>
      </c>
      <c r="AJ17" s="87" t="s">
        <v>56</v>
      </c>
      <c r="AK17" s="88" t="s">
        <v>56</v>
      </c>
      <c r="AL17" s="88" t="s">
        <v>56</v>
      </c>
      <c r="AM17" s="88" t="s">
        <v>56</v>
      </c>
      <c r="AN17" s="88" t="s">
        <v>56</v>
      </c>
      <c r="AO17" s="88" t="s">
        <v>56</v>
      </c>
      <c r="AP17" s="88" t="s">
        <v>56</v>
      </c>
      <c r="AQ17" s="88" t="s">
        <v>56</v>
      </c>
      <c r="AR17" s="88" t="s">
        <v>56</v>
      </c>
      <c r="AS17" s="89" t="s">
        <v>56</v>
      </c>
      <c r="AT17" s="83"/>
      <c r="AU17" s="87" t="s">
        <v>54</v>
      </c>
      <c r="AV17" s="88" t="s">
        <v>55</v>
      </c>
      <c r="AW17" s="89" t="s">
        <v>54</v>
      </c>
      <c r="AX17" s="87" t="s">
        <v>56</v>
      </c>
      <c r="AY17" s="88" t="s">
        <v>56</v>
      </c>
      <c r="AZ17" s="88" t="s">
        <v>56</v>
      </c>
      <c r="BA17" s="88" t="s">
        <v>56</v>
      </c>
      <c r="BB17" s="88" t="s">
        <v>56</v>
      </c>
      <c r="BC17" s="88" t="s">
        <v>56</v>
      </c>
      <c r="BD17" s="88" t="s">
        <v>56</v>
      </c>
      <c r="BE17" s="88" t="s">
        <v>56</v>
      </c>
      <c r="BF17" s="88" t="s">
        <v>56</v>
      </c>
      <c r="BG17" s="89" t="s">
        <v>56</v>
      </c>
    </row>
    <row r="18" spans="2:59" ht="59.25" customHeight="1" thickBot="1">
      <c r="B18" s="93"/>
      <c r="C18" s="94"/>
      <c r="D18" s="94"/>
      <c r="E18" s="95" t="s">
        <v>58</v>
      </c>
      <c r="F18" s="96" t="s">
        <v>59</v>
      </c>
      <c r="G18" s="97" t="s">
        <v>60</v>
      </c>
      <c r="H18" s="97" t="s">
        <v>60</v>
      </c>
      <c r="I18" s="97" t="s">
        <v>61</v>
      </c>
      <c r="J18" s="98"/>
      <c r="K18" s="99"/>
      <c r="L18" s="100"/>
      <c r="M18" s="101" t="s">
        <v>62</v>
      </c>
      <c r="N18" s="102" t="s">
        <v>63</v>
      </c>
      <c r="O18" s="102" t="s">
        <v>64</v>
      </c>
      <c r="P18" s="102" t="s">
        <v>65</v>
      </c>
      <c r="Q18" s="102" t="s">
        <v>66</v>
      </c>
      <c r="R18" s="102" t="s">
        <v>67</v>
      </c>
      <c r="S18" s="103" t="s">
        <v>9</v>
      </c>
      <c r="T18" s="104" t="s">
        <v>9</v>
      </c>
      <c r="U18" s="102" t="s">
        <v>9</v>
      </c>
      <c r="V18" s="103" t="s">
        <v>9</v>
      </c>
      <c r="W18" s="105"/>
      <c r="Z18" s="106" t="s">
        <v>68</v>
      </c>
      <c r="AA18" s="107"/>
      <c r="AB18" s="100"/>
      <c r="AE18" s="108" t="s">
        <v>69</v>
      </c>
      <c r="AF18" s="83"/>
      <c r="AG18" s="98"/>
      <c r="AH18" s="99"/>
      <c r="AI18" s="100"/>
      <c r="AJ18" s="101" t="str">
        <f aca="true" t="shared" si="0" ref="AJ18:AS18">T(M18)</f>
        <v>Launch</v>
      </c>
      <c r="AK18" s="102" t="str">
        <f t="shared" si="0"/>
        <v>Science</v>
      </c>
      <c r="AL18" s="102" t="str">
        <f t="shared" si="0"/>
        <v>Telecom</v>
      </c>
      <c r="AM18" s="102" t="str">
        <f t="shared" si="0"/>
        <v>Science &amp; Telecom</v>
      </c>
      <c r="AN18" s="102" t="str">
        <f t="shared" si="0"/>
        <v>Eclipse</v>
      </c>
      <c r="AO18" s="102" t="str">
        <f t="shared" si="0"/>
        <v>Safe</v>
      </c>
      <c r="AP18" s="102" t="str">
        <f t="shared" si="0"/>
        <v>TBD</v>
      </c>
      <c r="AQ18" s="102" t="str">
        <f t="shared" si="0"/>
        <v>TBD</v>
      </c>
      <c r="AR18" s="102" t="str">
        <f t="shared" si="0"/>
        <v>TBD</v>
      </c>
      <c r="AS18" s="103" t="str">
        <f t="shared" si="0"/>
        <v>TBD</v>
      </c>
      <c r="AT18" s="83"/>
      <c r="AU18" s="98"/>
      <c r="AV18" s="99"/>
      <c r="AW18" s="100"/>
      <c r="AX18" s="101" t="str">
        <f aca="true" t="shared" si="1" ref="AX18:BG18">T(AJ18)</f>
        <v>Launch</v>
      </c>
      <c r="AY18" s="102" t="str">
        <f t="shared" si="1"/>
        <v>Science</v>
      </c>
      <c r="AZ18" s="102" t="str">
        <f t="shared" si="1"/>
        <v>Telecom</v>
      </c>
      <c r="BA18" s="102" t="str">
        <f t="shared" si="1"/>
        <v>Science &amp; Telecom</v>
      </c>
      <c r="BB18" s="102" t="str">
        <f t="shared" si="1"/>
        <v>Eclipse</v>
      </c>
      <c r="BC18" s="102" t="str">
        <f t="shared" si="1"/>
        <v>Safe</v>
      </c>
      <c r="BD18" s="102" t="str">
        <f t="shared" si="1"/>
        <v>TBD</v>
      </c>
      <c r="BE18" s="102" t="str">
        <f t="shared" si="1"/>
        <v>TBD</v>
      </c>
      <c r="BF18" s="102" t="str">
        <f t="shared" si="1"/>
        <v>TBD</v>
      </c>
      <c r="BG18" s="103" t="str">
        <f t="shared" si="1"/>
        <v>TBD</v>
      </c>
    </row>
    <row r="19" spans="2:59" s="109" customFormat="1" ht="15.75" customHeight="1" thickBot="1">
      <c r="B19" s="110" t="s">
        <v>240</v>
      </c>
      <c r="C19" s="111"/>
      <c r="D19" s="111"/>
      <c r="E19" s="112"/>
      <c r="F19" s="113"/>
      <c r="G19" s="113"/>
      <c r="H19" s="113"/>
      <c r="I19" s="113"/>
      <c r="J19" s="114"/>
      <c r="K19" s="115"/>
      <c r="L19" s="116"/>
      <c r="M19" s="117"/>
      <c r="N19" s="118"/>
      <c r="O19" s="118"/>
      <c r="P19" s="118"/>
      <c r="Q19" s="118"/>
      <c r="R19" s="118"/>
      <c r="S19" s="119"/>
      <c r="T19" s="120"/>
      <c r="U19" s="121"/>
      <c r="V19" s="119"/>
      <c r="W19" s="112"/>
      <c r="X19"/>
      <c r="Y19"/>
      <c r="Z19" s="122"/>
      <c r="AA19" s="123"/>
      <c r="AB19" s="116"/>
      <c r="AE19" s="124"/>
      <c r="AF19" s="125"/>
      <c r="AG19" s="114"/>
      <c r="AH19" s="115"/>
      <c r="AI19" s="116"/>
      <c r="AJ19" s="126"/>
      <c r="AK19" s="127"/>
      <c r="AL19" s="127"/>
      <c r="AM19" s="127"/>
      <c r="AN19" s="127"/>
      <c r="AO19" s="127"/>
      <c r="AP19" s="127"/>
      <c r="AQ19" s="127"/>
      <c r="AR19" s="127"/>
      <c r="AS19" s="128"/>
      <c r="AT19" s="125"/>
      <c r="AU19" s="114"/>
      <c r="AV19" s="115"/>
      <c r="AW19" s="116"/>
      <c r="AX19" s="126"/>
      <c r="AY19" s="127"/>
      <c r="AZ19" s="127"/>
      <c r="BA19" s="127"/>
      <c r="BB19" s="127"/>
      <c r="BC19" s="127"/>
      <c r="BD19" s="127"/>
      <c r="BE19" s="127"/>
      <c r="BF19" s="127"/>
      <c r="BG19" s="128"/>
    </row>
    <row r="20" spans="1:59" ht="16.5" thickBot="1">
      <c r="A20" s="129"/>
      <c r="B20" s="130" t="s">
        <v>70</v>
      </c>
      <c r="C20" s="131"/>
      <c r="D20" s="131"/>
      <c r="E20" s="131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3"/>
      <c r="S20" s="133"/>
      <c r="T20" s="132"/>
      <c r="U20" s="132"/>
      <c r="V20" s="133"/>
      <c r="W20" s="132"/>
      <c r="Z20" s="132"/>
      <c r="AA20" s="132"/>
      <c r="AB20" s="133"/>
      <c r="AE20" s="134">
        <v>38618.64873842592</v>
      </c>
      <c r="AF20" s="83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3"/>
      <c r="AT20" s="83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3"/>
    </row>
    <row r="21" spans="2:59" ht="15.75">
      <c r="B21" s="19" t="s">
        <v>71</v>
      </c>
      <c r="C21" s="20"/>
      <c r="D21" s="20"/>
      <c r="E21" s="135">
        <f aca="true" t="shared" si="2" ref="E21:E28">IF($J$67&gt;0,J21/$J$67,0)</f>
        <v>0.12962962962962962</v>
      </c>
      <c r="F21" s="136">
        <v>0</v>
      </c>
      <c r="G21" s="136"/>
      <c r="H21" s="136"/>
      <c r="I21" s="137"/>
      <c r="J21" s="138">
        <v>35</v>
      </c>
      <c r="K21" s="139">
        <v>0.35</v>
      </c>
      <c r="L21" s="140">
        <f aca="true" t="shared" si="3" ref="L21:L27">J21*(1+K21)</f>
        <v>47.25</v>
      </c>
      <c r="M21" s="158">
        <f aca="true" t="shared" si="4" ref="M21:V21">IF(AX21="",AJ21,AX21)</f>
        <v>0</v>
      </c>
      <c r="N21" s="159">
        <f t="shared" si="4"/>
        <v>0</v>
      </c>
      <c r="O21" s="159">
        <f t="shared" si="4"/>
        <v>0</v>
      </c>
      <c r="P21" s="159">
        <f t="shared" si="4"/>
        <v>0</v>
      </c>
      <c r="Q21" s="159">
        <f t="shared" si="4"/>
        <v>0</v>
      </c>
      <c r="R21" s="159">
        <f t="shared" si="4"/>
        <v>0</v>
      </c>
      <c r="S21" s="142">
        <f t="shared" si="4"/>
        <v>0</v>
      </c>
      <c r="T21" s="143">
        <f t="shared" si="4"/>
        <v>0</v>
      </c>
      <c r="U21" s="144">
        <f t="shared" si="4"/>
        <v>0</v>
      </c>
      <c r="V21" s="142">
        <f t="shared" si="4"/>
        <v>0</v>
      </c>
      <c r="W21" s="145" t="e">
        <f>#REF!</f>
        <v>#REF!</v>
      </c>
      <c r="Z21" s="146">
        <f>IF(AE21=0,0,(J21-AE21)/AE21)</f>
        <v>0</v>
      </c>
      <c r="AA21" s="147">
        <f>SUM('[1]Inputs'!O361:O410)</f>
        <v>0</v>
      </c>
      <c r="AB21" s="148">
        <f>'[1]Inputs'!O411</f>
        <v>39763.5818678241</v>
      </c>
      <c r="AE21" s="149">
        <v>0</v>
      </c>
      <c r="AF21" s="83"/>
      <c r="AG21" s="150">
        <f>'[1]Inputs'!$O248</f>
        <v>0</v>
      </c>
      <c r="AH21" s="151">
        <f>'[1]Inputs'!$O250</f>
        <v>0</v>
      </c>
      <c r="AI21" s="140">
        <f>'[1]Inputs'!$O249</f>
        <v>0</v>
      </c>
      <c r="AJ21" s="150">
        <f>'[1]Inputs'!$O251</f>
        <v>0</v>
      </c>
      <c r="AK21" s="149">
        <f>'[1]Inputs'!$O$252</f>
        <v>0</v>
      </c>
      <c r="AL21" s="149">
        <f>'[1]Inputs'!$O$253</f>
        <v>0</v>
      </c>
      <c r="AM21" s="149">
        <f>'[1]Inputs'!$O$254</f>
        <v>0</v>
      </c>
      <c r="AN21" s="149">
        <f>'[1]Inputs'!$O$255</f>
        <v>0</v>
      </c>
      <c r="AO21" s="149">
        <f>'[1]Inputs'!$O$256</f>
        <v>0</v>
      </c>
      <c r="AP21" s="149">
        <f>'[1]Inputs'!$O$257</f>
        <v>0</v>
      </c>
      <c r="AQ21" s="149">
        <f>'[1]Inputs'!$O$258</f>
        <v>0</v>
      </c>
      <c r="AR21" s="149">
        <f>'[1]Inputs'!$O$259</f>
        <v>0</v>
      </c>
      <c r="AS21" s="140">
        <f>'[1]Inputs'!$O$260</f>
        <v>0</v>
      </c>
      <c r="AT21" s="83"/>
      <c r="AU21" s="152"/>
      <c r="AV21" s="153"/>
      <c r="AW21" s="154"/>
      <c r="AX21" s="152"/>
      <c r="AY21" s="136"/>
      <c r="AZ21" s="136"/>
      <c r="BA21" s="136"/>
      <c r="BB21" s="136"/>
      <c r="BC21" s="136"/>
      <c r="BD21" s="136"/>
      <c r="BE21" s="136"/>
      <c r="BF21" s="136"/>
      <c r="BG21" s="155"/>
    </row>
    <row r="22" spans="2:59" ht="22.5" customHeight="1" outlineLevel="1">
      <c r="B22" s="19" t="s">
        <v>72</v>
      </c>
      <c r="C22" s="20"/>
      <c r="D22" s="156"/>
      <c r="E22" s="135">
        <f t="shared" si="2"/>
        <v>0.037037037037037035</v>
      </c>
      <c r="F22" s="136">
        <v>0</v>
      </c>
      <c r="G22" s="136"/>
      <c r="H22" s="136"/>
      <c r="I22" s="137"/>
      <c r="J22" s="138">
        <v>10</v>
      </c>
      <c r="K22" s="157">
        <f aca="true" t="shared" si="5" ref="K22:K27">$N$91</f>
        <v>0.43</v>
      </c>
      <c r="L22" s="140">
        <f t="shared" si="3"/>
        <v>14.299999999999999</v>
      </c>
      <c r="M22" s="158"/>
      <c r="N22" s="159">
        <v>45</v>
      </c>
      <c r="O22" s="159"/>
      <c r="P22" s="159"/>
      <c r="Q22" s="159"/>
      <c r="R22" s="159"/>
      <c r="S22" s="160"/>
      <c r="T22" s="161"/>
      <c r="U22" s="162"/>
      <c r="V22" s="160"/>
      <c r="W22" s="163"/>
      <c r="Z22" s="146">
        <f>IF(AE22=0,0,(J22-AE22)/AE22)</f>
        <v>0</v>
      </c>
      <c r="AA22" s="164"/>
      <c r="AB22" s="165"/>
      <c r="AE22" s="136"/>
      <c r="AF22" s="83"/>
      <c r="AG22" s="166"/>
      <c r="AH22" s="167"/>
      <c r="AI22" s="168"/>
      <c r="AJ22" s="166"/>
      <c r="AK22" s="169"/>
      <c r="AL22" s="169"/>
      <c r="AM22" s="169"/>
      <c r="AN22" s="169"/>
      <c r="AO22" s="169"/>
      <c r="AP22" s="169"/>
      <c r="AQ22" s="169"/>
      <c r="AR22" s="169"/>
      <c r="AS22" s="168"/>
      <c r="AT22" s="170"/>
      <c r="AU22" s="166"/>
      <c r="AV22" s="167"/>
      <c r="AW22" s="168"/>
      <c r="AX22" s="166"/>
      <c r="AY22" s="169"/>
      <c r="AZ22" s="169"/>
      <c r="BA22" s="169"/>
      <c r="BB22" s="169"/>
      <c r="BC22" s="169"/>
      <c r="BD22" s="169"/>
      <c r="BE22" s="169"/>
      <c r="BF22" s="169"/>
      <c r="BG22" s="168"/>
    </row>
    <row r="23" spans="2:59" ht="22.5" customHeight="1" outlineLevel="1">
      <c r="B23" s="19" t="s">
        <v>73</v>
      </c>
      <c r="C23" s="20"/>
      <c r="D23" s="156"/>
      <c r="E23" s="135">
        <f t="shared" si="2"/>
        <v>0</v>
      </c>
      <c r="F23" s="136"/>
      <c r="G23" s="136"/>
      <c r="H23" s="136"/>
      <c r="I23" s="137"/>
      <c r="J23" s="138"/>
      <c r="K23" s="157">
        <f t="shared" si="5"/>
        <v>0.43</v>
      </c>
      <c r="L23" s="140">
        <f t="shared" si="3"/>
        <v>0</v>
      </c>
      <c r="M23" s="158"/>
      <c r="N23" s="159"/>
      <c r="O23" s="159"/>
      <c r="P23" s="159"/>
      <c r="Q23" s="159"/>
      <c r="R23" s="159"/>
      <c r="S23" s="160"/>
      <c r="T23" s="161"/>
      <c r="U23" s="162"/>
      <c r="V23" s="160"/>
      <c r="W23" s="163"/>
      <c r="Z23" s="146"/>
      <c r="AA23" s="164"/>
      <c r="AB23" s="165"/>
      <c r="AE23" s="136"/>
      <c r="AF23" s="83"/>
      <c r="AG23" s="166"/>
      <c r="AH23" s="167"/>
      <c r="AI23" s="168"/>
      <c r="AJ23" s="166"/>
      <c r="AK23" s="169"/>
      <c r="AL23" s="169"/>
      <c r="AM23" s="169"/>
      <c r="AN23" s="169"/>
      <c r="AO23" s="169"/>
      <c r="AP23" s="169"/>
      <c r="AQ23" s="169"/>
      <c r="AR23" s="169"/>
      <c r="AS23" s="168"/>
      <c r="AT23" s="170"/>
      <c r="AU23" s="166"/>
      <c r="AV23" s="167"/>
      <c r="AW23" s="168"/>
      <c r="AX23" s="166"/>
      <c r="AY23" s="169"/>
      <c r="AZ23" s="169"/>
      <c r="BA23" s="169"/>
      <c r="BB23" s="169"/>
      <c r="BC23" s="169"/>
      <c r="BD23" s="169"/>
      <c r="BE23" s="169"/>
      <c r="BF23" s="169"/>
      <c r="BG23" s="168"/>
    </row>
    <row r="24" spans="2:59" ht="22.5" customHeight="1" outlineLevel="1">
      <c r="B24" s="19" t="s">
        <v>74</v>
      </c>
      <c r="C24" s="20"/>
      <c r="D24" s="156"/>
      <c r="E24" s="135">
        <f t="shared" si="2"/>
        <v>0</v>
      </c>
      <c r="F24" s="136"/>
      <c r="G24" s="136"/>
      <c r="H24" s="136"/>
      <c r="I24" s="137"/>
      <c r="J24" s="138"/>
      <c r="K24" s="157">
        <f t="shared" si="5"/>
        <v>0.43</v>
      </c>
      <c r="L24" s="140">
        <f t="shared" si="3"/>
        <v>0</v>
      </c>
      <c r="M24" s="158"/>
      <c r="N24" s="159"/>
      <c r="O24" s="159"/>
      <c r="P24" s="159"/>
      <c r="Q24" s="159"/>
      <c r="R24" s="159"/>
      <c r="S24" s="160"/>
      <c r="T24" s="161"/>
      <c r="U24" s="162"/>
      <c r="V24" s="160"/>
      <c r="W24" s="163"/>
      <c r="Z24" s="146"/>
      <c r="AA24" s="164"/>
      <c r="AB24" s="165"/>
      <c r="AE24" s="136"/>
      <c r="AF24" s="83"/>
      <c r="AG24" s="166"/>
      <c r="AH24" s="167"/>
      <c r="AI24" s="168"/>
      <c r="AJ24" s="166"/>
      <c r="AK24" s="169"/>
      <c r="AL24" s="169"/>
      <c r="AM24" s="169"/>
      <c r="AN24" s="169"/>
      <c r="AO24" s="169"/>
      <c r="AP24" s="169"/>
      <c r="AQ24" s="169"/>
      <c r="AR24" s="169"/>
      <c r="AS24" s="168"/>
      <c r="AT24" s="170"/>
      <c r="AU24" s="166"/>
      <c r="AV24" s="167"/>
      <c r="AW24" s="168"/>
      <c r="AX24" s="166"/>
      <c r="AY24" s="169"/>
      <c r="AZ24" s="169"/>
      <c r="BA24" s="169"/>
      <c r="BB24" s="169"/>
      <c r="BC24" s="169"/>
      <c r="BD24" s="169"/>
      <c r="BE24" s="169"/>
      <c r="BF24" s="169"/>
      <c r="BG24" s="168"/>
    </row>
    <row r="25" spans="2:59" ht="22.5" customHeight="1" outlineLevel="1">
      <c r="B25" s="19" t="s">
        <v>75</v>
      </c>
      <c r="C25" s="20"/>
      <c r="D25" s="156"/>
      <c r="E25" s="135">
        <f t="shared" si="2"/>
        <v>0</v>
      </c>
      <c r="F25" s="136"/>
      <c r="G25" s="136"/>
      <c r="H25" s="136"/>
      <c r="I25" s="137"/>
      <c r="J25" s="138"/>
      <c r="K25" s="157">
        <f t="shared" si="5"/>
        <v>0.43</v>
      </c>
      <c r="L25" s="140">
        <f t="shared" si="3"/>
        <v>0</v>
      </c>
      <c r="M25" s="158"/>
      <c r="N25" s="159"/>
      <c r="O25" s="159"/>
      <c r="P25" s="159"/>
      <c r="Q25" s="159"/>
      <c r="R25" s="159"/>
      <c r="S25" s="160"/>
      <c r="T25" s="161"/>
      <c r="U25" s="162"/>
      <c r="V25" s="160"/>
      <c r="W25" s="163"/>
      <c r="Z25" s="146"/>
      <c r="AA25" s="164"/>
      <c r="AB25" s="165"/>
      <c r="AE25" s="136"/>
      <c r="AF25" s="83"/>
      <c r="AG25" s="166"/>
      <c r="AH25" s="167"/>
      <c r="AI25" s="168"/>
      <c r="AJ25" s="166"/>
      <c r="AK25" s="169"/>
      <c r="AL25" s="169"/>
      <c r="AM25" s="169"/>
      <c r="AN25" s="169"/>
      <c r="AO25" s="169"/>
      <c r="AP25" s="169"/>
      <c r="AQ25" s="169"/>
      <c r="AR25" s="169"/>
      <c r="AS25" s="168"/>
      <c r="AT25" s="170"/>
      <c r="AU25" s="166"/>
      <c r="AV25" s="167"/>
      <c r="AW25" s="168"/>
      <c r="AX25" s="166"/>
      <c r="AY25" s="169"/>
      <c r="AZ25" s="169"/>
      <c r="BA25" s="169"/>
      <c r="BB25" s="169"/>
      <c r="BC25" s="169"/>
      <c r="BD25" s="169"/>
      <c r="BE25" s="169"/>
      <c r="BF25" s="169"/>
      <c r="BG25" s="168"/>
    </row>
    <row r="26" spans="2:59" ht="22.5" customHeight="1" outlineLevel="1">
      <c r="B26" s="19" t="s">
        <v>76</v>
      </c>
      <c r="C26" s="20"/>
      <c r="D26" s="156"/>
      <c r="E26" s="135">
        <f t="shared" si="2"/>
        <v>0</v>
      </c>
      <c r="F26" s="136"/>
      <c r="G26" s="136"/>
      <c r="H26" s="136"/>
      <c r="I26" s="137"/>
      <c r="J26" s="138"/>
      <c r="K26" s="157">
        <f t="shared" si="5"/>
        <v>0.43</v>
      </c>
      <c r="L26" s="140">
        <f t="shared" si="3"/>
        <v>0</v>
      </c>
      <c r="M26" s="158"/>
      <c r="N26" s="159"/>
      <c r="O26" s="159"/>
      <c r="P26" s="159"/>
      <c r="Q26" s="159"/>
      <c r="R26" s="159"/>
      <c r="S26" s="160"/>
      <c r="T26" s="161"/>
      <c r="U26" s="162"/>
      <c r="V26" s="160"/>
      <c r="W26" s="163"/>
      <c r="Z26" s="146"/>
      <c r="AA26" s="164"/>
      <c r="AB26" s="165"/>
      <c r="AE26" s="136"/>
      <c r="AF26" s="83"/>
      <c r="AG26" s="166"/>
      <c r="AH26" s="167"/>
      <c r="AI26" s="168"/>
      <c r="AJ26" s="166"/>
      <c r="AK26" s="169"/>
      <c r="AL26" s="169"/>
      <c r="AM26" s="169"/>
      <c r="AN26" s="169"/>
      <c r="AO26" s="169"/>
      <c r="AP26" s="169"/>
      <c r="AQ26" s="169"/>
      <c r="AR26" s="169"/>
      <c r="AS26" s="168"/>
      <c r="AT26" s="170"/>
      <c r="AU26" s="166"/>
      <c r="AV26" s="167"/>
      <c r="AW26" s="168"/>
      <c r="AX26" s="166"/>
      <c r="AY26" s="169"/>
      <c r="AZ26" s="169"/>
      <c r="BA26" s="169"/>
      <c r="BB26" s="169"/>
      <c r="BC26" s="169"/>
      <c r="BD26" s="169"/>
      <c r="BE26" s="169"/>
      <c r="BF26" s="169"/>
      <c r="BG26" s="168"/>
    </row>
    <row r="27" spans="2:59" ht="22.5" customHeight="1" outlineLevel="1">
      <c r="B27" s="19" t="s">
        <v>77</v>
      </c>
      <c r="C27" s="20"/>
      <c r="D27" s="156"/>
      <c r="E27" s="135">
        <f t="shared" si="2"/>
        <v>0</v>
      </c>
      <c r="F27" s="136"/>
      <c r="G27" s="136"/>
      <c r="H27" s="136"/>
      <c r="I27" s="137"/>
      <c r="J27" s="138"/>
      <c r="K27" s="157">
        <f t="shared" si="5"/>
        <v>0.43</v>
      </c>
      <c r="L27" s="140">
        <f t="shared" si="3"/>
        <v>0</v>
      </c>
      <c r="M27" s="158"/>
      <c r="N27" s="159"/>
      <c r="O27" s="159"/>
      <c r="P27" s="159"/>
      <c r="Q27" s="159"/>
      <c r="R27" s="159"/>
      <c r="S27" s="160"/>
      <c r="T27" s="161"/>
      <c r="U27" s="162"/>
      <c r="V27" s="160"/>
      <c r="W27" s="163"/>
      <c r="Z27" s="146"/>
      <c r="AA27" s="164"/>
      <c r="AB27" s="165"/>
      <c r="AE27" s="136"/>
      <c r="AF27" s="83"/>
      <c r="AG27" s="166"/>
      <c r="AH27" s="167"/>
      <c r="AI27" s="168"/>
      <c r="AJ27" s="166"/>
      <c r="AK27" s="169"/>
      <c r="AL27" s="169"/>
      <c r="AM27" s="169"/>
      <c r="AN27" s="169"/>
      <c r="AO27" s="169"/>
      <c r="AP27" s="169"/>
      <c r="AQ27" s="169"/>
      <c r="AR27" s="169"/>
      <c r="AS27" s="168"/>
      <c r="AT27" s="170"/>
      <c r="AU27" s="166"/>
      <c r="AV27" s="167"/>
      <c r="AW27" s="168"/>
      <c r="AX27" s="166"/>
      <c r="AY27" s="169"/>
      <c r="AZ27" s="169"/>
      <c r="BA27" s="169"/>
      <c r="BB27" s="169"/>
      <c r="BC27" s="169"/>
      <c r="BD27" s="169"/>
      <c r="BE27" s="169"/>
      <c r="BF27" s="169"/>
      <c r="BG27" s="168"/>
    </row>
    <row r="28" spans="2:59" ht="16.5" thickBot="1">
      <c r="B28" s="171" t="s">
        <v>78</v>
      </c>
      <c r="C28" s="20"/>
      <c r="D28" s="156"/>
      <c r="E28" s="135">
        <f t="shared" si="2"/>
        <v>0.16666666666666666</v>
      </c>
      <c r="F28" s="172">
        <f>SUM(F21:F27)</f>
        <v>0</v>
      </c>
      <c r="G28" s="172"/>
      <c r="H28" s="172"/>
      <c r="I28" s="173"/>
      <c r="J28" s="174">
        <f>SUM(J21:J27)</f>
        <v>45</v>
      </c>
      <c r="K28" s="175">
        <f>IF(J28=0,0,(L28-J28)/J28)</f>
        <v>0.3677777777777777</v>
      </c>
      <c r="L28" s="176">
        <f aca="true" t="shared" si="6" ref="L28:V28">SUM(L21:L27)</f>
        <v>61.55</v>
      </c>
      <c r="M28" s="177">
        <f t="shared" si="6"/>
        <v>0</v>
      </c>
      <c r="N28" s="178">
        <f t="shared" si="6"/>
        <v>45</v>
      </c>
      <c r="O28" s="178">
        <f t="shared" si="6"/>
        <v>0</v>
      </c>
      <c r="P28" s="178">
        <f t="shared" si="6"/>
        <v>0</v>
      </c>
      <c r="Q28" s="178">
        <f t="shared" si="6"/>
        <v>0</v>
      </c>
      <c r="R28" s="178">
        <f t="shared" si="6"/>
        <v>0</v>
      </c>
      <c r="S28" s="179">
        <f t="shared" si="6"/>
        <v>0</v>
      </c>
      <c r="T28" s="180">
        <f t="shared" si="6"/>
        <v>0</v>
      </c>
      <c r="U28" s="178">
        <f t="shared" si="6"/>
        <v>0</v>
      </c>
      <c r="V28" s="179">
        <f t="shared" si="6"/>
        <v>0</v>
      </c>
      <c r="W28" s="181"/>
      <c r="Z28" s="146">
        <f>IF(AE28=0,0,(J28-AE28)/AE28)</f>
        <v>0</v>
      </c>
      <c r="AA28" s="182"/>
      <c r="AB28" s="165"/>
      <c r="AE28" s="172">
        <v>0</v>
      </c>
      <c r="AF28" s="83"/>
      <c r="AG28" s="183"/>
      <c r="AH28" s="184"/>
      <c r="AI28" s="185"/>
      <c r="AJ28" s="186"/>
      <c r="AK28" s="187"/>
      <c r="AL28" s="187"/>
      <c r="AM28" s="187"/>
      <c r="AN28" s="187"/>
      <c r="AO28" s="187"/>
      <c r="AP28" s="187"/>
      <c r="AQ28" s="187"/>
      <c r="AR28" s="187"/>
      <c r="AS28" s="187"/>
      <c r="AT28" s="170"/>
      <c r="AU28" s="183"/>
      <c r="AV28" s="184"/>
      <c r="AW28" s="185"/>
      <c r="AX28" s="186"/>
      <c r="AY28" s="187"/>
      <c r="AZ28" s="187"/>
      <c r="BA28" s="187"/>
      <c r="BB28" s="187"/>
      <c r="BC28" s="187"/>
      <c r="BD28" s="187"/>
      <c r="BE28" s="187"/>
      <c r="BF28" s="187"/>
      <c r="BG28" s="187"/>
    </row>
    <row r="29" spans="2:59" ht="22.5" customHeight="1" hidden="1" collapsed="1" thickBot="1">
      <c r="B29" s="130" t="s">
        <v>79</v>
      </c>
      <c r="C29" s="131"/>
      <c r="D29" s="131"/>
      <c r="E29" s="131"/>
      <c r="F29" s="132"/>
      <c r="G29" s="132"/>
      <c r="H29" s="132"/>
      <c r="I29" s="132"/>
      <c r="J29" s="132"/>
      <c r="K29" s="132"/>
      <c r="L29" s="132"/>
      <c r="M29" s="188"/>
      <c r="N29" s="188"/>
      <c r="O29" s="188"/>
      <c r="P29" s="188"/>
      <c r="Q29" s="188"/>
      <c r="R29" s="188"/>
      <c r="S29" s="189"/>
      <c r="T29" s="188"/>
      <c r="U29" s="188"/>
      <c r="V29" s="189"/>
      <c r="W29" s="132"/>
      <c r="Z29" s="132"/>
      <c r="AA29" s="132"/>
      <c r="AB29" s="133"/>
      <c r="AE29" s="136"/>
      <c r="AF29" s="83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3"/>
      <c r="AT29" s="83"/>
      <c r="AU29" s="132"/>
      <c r="AV29" s="132"/>
      <c r="AW29" s="132"/>
      <c r="AX29" s="132"/>
      <c r="AY29" s="132"/>
      <c r="AZ29" s="132"/>
      <c r="BA29" s="132"/>
      <c r="BB29" s="132"/>
      <c r="BC29" s="132"/>
      <c r="BD29" s="132"/>
      <c r="BE29" s="132"/>
      <c r="BF29" s="132"/>
      <c r="BG29" s="133"/>
    </row>
    <row r="30" spans="2:59" ht="22.5" customHeight="1" hidden="1" outlineLevel="1">
      <c r="B30" s="19" t="s">
        <v>80</v>
      </c>
      <c r="C30" s="20"/>
      <c r="D30" s="156"/>
      <c r="E30" s="135">
        <f aca="true" t="shared" si="7" ref="E30:E36">IF($J$67&gt;0,J30/$J$67,0)</f>
        <v>0</v>
      </c>
      <c r="F30" s="136"/>
      <c r="G30" s="136"/>
      <c r="H30" s="136"/>
      <c r="I30" s="137"/>
      <c r="J30" s="190">
        <f aca="true" t="shared" si="8" ref="J30:K35">IF(AU30="",AG30,AU30)</f>
        <v>0</v>
      </c>
      <c r="K30" s="191">
        <f t="shared" si="8"/>
        <v>0</v>
      </c>
      <c r="L30" s="192">
        <f aca="true" t="shared" si="9" ref="L30:L35">J30*(1+K30)</f>
        <v>0</v>
      </c>
      <c r="M30" s="193"/>
      <c r="N30" s="194"/>
      <c r="O30" s="194"/>
      <c r="P30" s="194"/>
      <c r="Q30" s="194"/>
      <c r="R30" s="194"/>
      <c r="S30" s="195"/>
      <c r="T30" s="196"/>
      <c r="U30" s="194"/>
      <c r="V30" s="195"/>
      <c r="W30" s="163"/>
      <c r="Z30" s="146"/>
      <c r="AA30" s="164"/>
      <c r="AB30" s="165"/>
      <c r="AE30" s="197"/>
      <c r="AF30" s="83"/>
      <c r="AG30" s="190"/>
      <c r="AH30" s="198"/>
      <c r="AI30" s="192"/>
      <c r="AJ30" s="190"/>
      <c r="AK30" s="197"/>
      <c r="AL30" s="197"/>
      <c r="AM30" s="197"/>
      <c r="AN30" s="197"/>
      <c r="AO30" s="197"/>
      <c r="AP30" s="197"/>
      <c r="AQ30" s="197"/>
      <c r="AR30" s="197"/>
      <c r="AS30" s="192"/>
      <c r="AT30" s="83"/>
      <c r="AU30" s="152"/>
      <c r="AV30" s="153"/>
      <c r="AW30" s="154"/>
      <c r="AX30" s="152"/>
      <c r="AY30" s="136"/>
      <c r="AZ30" s="136"/>
      <c r="BA30" s="136"/>
      <c r="BB30" s="136"/>
      <c r="BC30" s="136"/>
      <c r="BD30" s="136"/>
      <c r="BE30" s="136"/>
      <c r="BF30" s="136"/>
      <c r="BG30" s="155"/>
    </row>
    <row r="31" spans="2:59" ht="22.5" customHeight="1" hidden="1" outlineLevel="1">
      <c r="B31" s="19" t="s">
        <v>80</v>
      </c>
      <c r="C31" s="20"/>
      <c r="D31" s="156"/>
      <c r="E31" s="135">
        <f t="shared" si="7"/>
        <v>0</v>
      </c>
      <c r="F31" s="136"/>
      <c r="G31" s="136"/>
      <c r="H31" s="136"/>
      <c r="I31" s="137"/>
      <c r="J31" s="190">
        <f t="shared" si="8"/>
        <v>0</v>
      </c>
      <c r="K31" s="191">
        <f t="shared" si="8"/>
        <v>0</v>
      </c>
      <c r="L31" s="192">
        <f t="shared" si="9"/>
        <v>0</v>
      </c>
      <c r="M31" s="199"/>
      <c r="N31" s="200"/>
      <c r="O31" s="200"/>
      <c r="P31" s="200"/>
      <c r="Q31" s="200"/>
      <c r="R31" s="200"/>
      <c r="S31" s="201"/>
      <c r="T31" s="202"/>
      <c r="U31" s="200"/>
      <c r="V31" s="201"/>
      <c r="W31" s="163"/>
      <c r="Z31" s="146"/>
      <c r="AA31" s="164"/>
      <c r="AB31" s="165"/>
      <c r="AE31" s="197"/>
      <c r="AF31" s="83"/>
      <c r="AG31" s="190"/>
      <c r="AH31" s="198"/>
      <c r="AI31" s="192"/>
      <c r="AJ31" s="190"/>
      <c r="AK31" s="197"/>
      <c r="AL31" s="197"/>
      <c r="AM31" s="197"/>
      <c r="AN31" s="197"/>
      <c r="AO31" s="197"/>
      <c r="AP31" s="197"/>
      <c r="AQ31" s="197"/>
      <c r="AR31" s="197"/>
      <c r="AS31" s="192"/>
      <c r="AT31" s="83"/>
      <c r="AU31" s="152"/>
      <c r="AV31" s="153"/>
      <c r="AW31" s="154"/>
      <c r="AX31" s="152"/>
      <c r="AY31" s="136"/>
      <c r="AZ31" s="136"/>
      <c r="BA31" s="136"/>
      <c r="BB31" s="136"/>
      <c r="BC31" s="136"/>
      <c r="BD31" s="136"/>
      <c r="BE31" s="136"/>
      <c r="BF31" s="136"/>
      <c r="BG31" s="155"/>
    </row>
    <row r="32" spans="2:59" ht="22.5" customHeight="1" hidden="1" outlineLevel="1">
      <c r="B32" s="19" t="s">
        <v>80</v>
      </c>
      <c r="C32" s="20"/>
      <c r="D32" s="156"/>
      <c r="E32" s="135">
        <f t="shared" si="7"/>
        <v>0</v>
      </c>
      <c r="F32" s="136"/>
      <c r="G32" s="136"/>
      <c r="H32" s="136"/>
      <c r="I32" s="137"/>
      <c r="J32" s="190">
        <f t="shared" si="8"/>
        <v>0</v>
      </c>
      <c r="K32" s="191">
        <f t="shared" si="8"/>
        <v>0</v>
      </c>
      <c r="L32" s="192">
        <f t="shared" si="9"/>
        <v>0</v>
      </c>
      <c r="M32" s="199"/>
      <c r="N32" s="200"/>
      <c r="O32" s="200"/>
      <c r="P32" s="200"/>
      <c r="Q32" s="200"/>
      <c r="R32" s="200"/>
      <c r="S32" s="201"/>
      <c r="T32" s="202"/>
      <c r="U32" s="200"/>
      <c r="V32" s="201"/>
      <c r="W32" s="163"/>
      <c r="Z32" s="146"/>
      <c r="AA32" s="164"/>
      <c r="AB32" s="165"/>
      <c r="AE32" s="197"/>
      <c r="AF32" s="83"/>
      <c r="AG32" s="190"/>
      <c r="AH32" s="198"/>
      <c r="AI32" s="192"/>
      <c r="AJ32" s="190"/>
      <c r="AK32" s="197"/>
      <c r="AL32" s="197"/>
      <c r="AM32" s="197"/>
      <c r="AN32" s="197"/>
      <c r="AO32" s="197"/>
      <c r="AP32" s="197"/>
      <c r="AQ32" s="197"/>
      <c r="AR32" s="197"/>
      <c r="AS32" s="192"/>
      <c r="AT32" s="83"/>
      <c r="AU32" s="152"/>
      <c r="AV32" s="153"/>
      <c r="AW32" s="154"/>
      <c r="AX32" s="152"/>
      <c r="AY32" s="136"/>
      <c r="AZ32" s="136"/>
      <c r="BA32" s="136"/>
      <c r="BB32" s="136"/>
      <c r="BC32" s="136"/>
      <c r="BD32" s="136"/>
      <c r="BE32" s="136"/>
      <c r="BF32" s="136"/>
      <c r="BG32" s="155"/>
    </row>
    <row r="33" spans="2:59" ht="22.5" customHeight="1" hidden="1" outlineLevel="1">
      <c r="B33" s="19" t="s">
        <v>80</v>
      </c>
      <c r="C33" s="20"/>
      <c r="D33" s="156"/>
      <c r="E33" s="135">
        <f t="shared" si="7"/>
        <v>0</v>
      </c>
      <c r="F33" s="136"/>
      <c r="G33" s="136"/>
      <c r="H33" s="136"/>
      <c r="I33" s="137"/>
      <c r="J33" s="190">
        <f t="shared" si="8"/>
        <v>0</v>
      </c>
      <c r="K33" s="191">
        <f t="shared" si="8"/>
        <v>0</v>
      </c>
      <c r="L33" s="192">
        <f t="shared" si="9"/>
        <v>0</v>
      </c>
      <c r="M33" s="199"/>
      <c r="N33" s="200"/>
      <c r="O33" s="200"/>
      <c r="P33" s="200"/>
      <c r="Q33" s="200"/>
      <c r="R33" s="200"/>
      <c r="S33" s="201"/>
      <c r="T33" s="202"/>
      <c r="U33" s="200"/>
      <c r="V33" s="201"/>
      <c r="W33" s="163"/>
      <c r="Z33" s="146"/>
      <c r="AA33" s="164"/>
      <c r="AB33" s="165"/>
      <c r="AE33" s="197"/>
      <c r="AF33" s="83"/>
      <c r="AG33" s="190"/>
      <c r="AH33" s="198"/>
      <c r="AI33" s="192"/>
      <c r="AJ33" s="190"/>
      <c r="AK33" s="197"/>
      <c r="AL33" s="197"/>
      <c r="AM33" s="197"/>
      <c r="AN33" s="197"/>
      <c r="AO33" s="197"/>
      <c r="AP33" s="197"/>
      <c r="AQ33" s="197"/>
      <c r="AR33" s="197"/>
      <c r="AS33" s="192"/>
      <c r="AT33" s="83"/>
      <c r="AU33" s="152"/>
      <c r="AV33" s="153"/>
      <c r="AW33" s="154"/>
      <c r="AX33" s="152"/>
      <c r="AY33" s="136"/>
      <c r="AZ33" s="136"/>
      <c r="BA33" s="136"/>
      <c r="BB33" s="136"/>
      <c r="BC33" s="136"/>
      <c r="BD33" s="136"/>
      <c r="BE33" s="136"/>
      <c r="BF33" s="136"/>
      <c r="BG33" s="155"/>
    </row>
    <row r="34" spans="2:59" ht="22.5" customHeight="1" hidden="1" outlineLevel="1">
      <c r="B34" s="19" t="s">
        <v>80</v>
      </c>
      <c r="C34" s="20"/>
      <c r="D34" s="156"/>
      <c r="E34" s="135">
        <f t="shared" si="7"/>
        <v>0</v>
      </c>
      <c r="F34" s="136"/>
      <c r="G34" s="136"/>
      <c r="H34" s="136"/>
      <c r="I34" s="137"/>
      <c r="J34" s="190">
        <f t="shared" si="8"/>
        <v>0</v>
      </c>
      <c r="K34" s="191">
        <f t="shared" si="8"/>
        <v>0</v>
      </c>
      <c r="L34" s="192">
        <f t="shared" si="9"/>
        <v>0</v>
      </c>
      <c r="M34" s="199"/>
      <c r="N34" s="200"/>
      <c r="O34" s="200"/>
      <c r="P34" s="200"/>
      <c r="Q34" s="200"/>
      <c r="R34" s="200"/>
      <c r="S34" s="201"/>
      <c r="T34" s="202"/>
      <c r="U34" s="200"/>
      <c r="V34" s="201"/>
      <c r="W34" s="163"/>
      <c r="Z34" s="146"/>
      <c r="AA34" s="164"/>
      <c r="AB34" s="165"/>
      <c r="AE34" s="197"/>
      <c r="AF34" s="83"/>
      <c r="AG34" s="190"/>
      <c r="AH34" s="198"/>
      <c r="AI34" s="192"/>
      <c r="AJ34" s="190"/>
      <c r="AK34" s="197"/>
      <c r="AL34" s="197"/>
      <c r="AM34" s="197"/>
      <c r="AN34" s="197"/>
      <c r="AO34" s="197"/>
      <c r="AP34" s="197"/>
      <c r="AQ34" s="197"/>
      <c r="AR34" s="197"/>
      <c r="AS34" s="192"/>
      <c r="AT34" s="83"/>
      <c r="AU34" s="152"/>
      <c r="AV34" s="153"/>
      <c r="AW34" s="154"/>
      <c r="AX34" s="152"/>
      <c r="AY34" s="136"/>
      <c r="AZ34" s="136"/>
      <c r="BA34" s="136"/>
      <c r="BB34" s="136"/>
      <c r="BC34" s="136"/>
      <c r="BD34" s="136"/>
      <c r="BE34" s="136"/>
      <c r="BF34" s="136"/>
      <c r="BG34" s="155"/>
    </row>
    <row r="35" spans="2:59" ht="22.5" customHeight="1" hidden="1" outlineLevel="1">
      <c r="B35" s="19" t="s">
        <v>80</v>
      </c>
      <c r="C35" s="20"/>
      <c r="D35" s="156"/>
      <c r="E35" s="135">
        <f t="shared" si="7"/>
        <v>0</v>
      </c>
      <c r="F35" s="136">
        <v>0</v>
      </c>
      <c r="G35" s="136"/>
      <c r="H35" s="136"/>
      <c r="I35" s="137"/>
      <c r="J35" s="190">
        <f t="shared" si="8"/>
        <v>0</v>
      </c>
      <c r="K35" s="191">
        <f t="shared" si="8"/>
        <v>0</v>
      </c>
      <c r="L35" s="192">
        <f t="shared" si="9"/>
        <v>0</v>
      </c>
      <c r="M35" s="199"/>
      <c r="N35" s="200"/>
      <c r="O35" s="200"/>
      <c r="P35" s="200"/>
      <c r="Q35" s="200"/>
      <c r="R35" s="200"/>
      <c r="S35" s="201"/>
      <c r="T35" s="202"/>
      <c r="U35" s="200"/>
      <c r="V35" s="201"/>
      <c r="W35" s="181"/>
      <c r="Z35" s="146">
        <f>IF(AE35=0,0,(J35-AE35)/AE35)</f>
        <v>0</v>
      </c>
      <c r="AA35" s="182"/>
      <c r="AB35" s="165"/>
      <c r="AE35" s="197"/>
      <c r="AF35" s="83"/>
      <c r="AG35" s="190"/>
      <c r="AH35" s="198"/>
      <c r="AI35" s="192"/>
      <c r="AJ35" s="190"/>
      <c r="AK35" s="197"/>
      <c r="AL35" s="197"/>
      <c r="AM35" s="197"/>
      <c r="AN35" s="197"/>
      <c r="AO35" s="197"/>
      <c r="AP35" s="197"/>
      <c r="AQ35" s="197"/>
      <c r="AR35" s="197"/>
      <c r="AS35" s="192"/>
      <c r="AT35" s="83"/>
      <c r="AU35" s="152"/>
      <c r="AV35" s="153"/>
      <c r="AW35" s="154"/>
      <c r="AX35" s="152"/>
      <c r="AY35" s="136"/>
      <c r="AZ35" s="136"/>
      <c r="BA35" s="136"/>
      <c r="BB35" s="136"/>
      <c r="BC35" s="136"/>
      <c r="BD35" s="136"/>
      <c r="BE35" s="136"/>
      <c r="BF35" s="136"/>
      <c r="BG35" s="155"/>
    </row>
    <row r="36" spans="2:59" ht="16.5" hidden="1" thickBot="1">
      <c r="B36" s="171" t="s">
        <v>81</v>
      </c>
      <c r="C36" s="20"/>
      <c r="D36" s="156"/>
      <c r="E36" s="135">
        <f t="shared" si="7"/>
        <v>0</v>
      </c>
      <c r="F36" s="172">
        <f>SUM(F30:F35)</f>
        <v>0</v>
      </c>
      <c r="G36" s="172"/>
      <c r="H36" s="172"/>
      <c r="I36" s="173"/>
      <c r="J36" s="174">
        <f>SUM(J30:J35)</f>
        <v>0</v>
      </c>
      <c r="K36" s="203">
        <f>IF(J36=0,0,(L36-J36)/J36)</f>
        <v>0</v>
      </c>
      <c r="L36" s="204">
        <f aca="true" t="shared" si="10" ref="L36:V36">SUM(L30:L35)</f>
        <v>0</v>
      </c>
      <c r="M36" s="205">
        <f t="shared" si="10"/>
        <v>0</v>
      </c>
      <c r="N36" s="206">
        <f t="shared" si="10"/>
        <v>0</v>
      </c>
      <c r="O36" s="206">
        <f t="shared" si="10"/>
        <v>0</v>
      </c>
      <c r="P36" s="206">
        <f t="shared" si="10"/>
        <v>0</v>
      </c>
      <c r="Q36" s="206">
        <f t="shared" si="10"/>
        <v>0</v>
      </c>
      <c r="R36" s="206">
        <f t="shared" si="10"/>
        <v>0</v>
      </c>
      <c r="S36" s="207">
        <f t="shared" si="10"/>
        <v>0</v>
      </c>
      <c r="T36" s="208">
        <f t="shared" si="10"/>
        <v>0</v>
      </c>
      <c r="U36" s="206">
        <f t="shared" si="10"/>
        <v>0</v>
      </c>
      <c r="V36" s="207">
        <f t="shared" si="10"/>
        <v>0</v>
      </c>
      <c r="W36" s="181"/>
      <c r="Z36" s="146">
        <f>IF(AE36=0,0,(J36-AE36)/AE36)</f>
        <v>0</v>
      </c>
      <c r="AA36" s="182"/>
      <c r="AB36" s="165"/>
      <c r="AE36" s="172">
        <v>0</v>
      </c>
      <c r="AF36" s="83"/>
      <c r="AG36" s="183"/>
      <c r="AH36" s="167"/>
      <c r="AI36" s="209"/>
      <c r="AJ36" s="186"/>
      <c r="AK36" s="187"/>
      <c r="AL36" s="187"/>
      <c r="AM36" s="187"/>
      <c r="AN36" s="187"/>
      <c r="AO36" s="187"/>
      <c r="AP36" s="187"/>
      <c r="AQ36" s="187"/>
      <c r="AR36" s="187"/>
      <c r="AS36" s="187"/>
      <c r="AT36" s="170"/>
      <c r="AU36" s="183"/>
      <c r="AV36" s="167"/>
      <c r="AW36" s="209"/>
      <c r="AX36" s="186"/>
      <c r="AY36" s="187"/>
      <c r="AZ36" s="187"/>
      <c r="BA36" s="187"/>
      <c r="BB36" s="187"/>
      <c r="BC36" s="187"/>
      <c r="BD36" s="187"/>
      <c r="BE36" s="187"/>
      <c r="BF36" s="187"/>
      <c r="BG36" s="187"/>
    </row>
    <row r="37" spans="2:59" ht="16.5" hidden="1" thickBot="1">
      <c r="B37" s="171" t="s">
        <v>82</v>
      </c>
      <c r="C37" s="20"/>
      <c r="D37" s="156"/>
      <c r="E37" s="210"/>
      <c r="F37" s="211">
        <v>0</v>
      </c>
      <c r="G37" s="211"/>
      <c r="H37" s="211"/>
      <c r="I37" s="212"/>
      <c r="J37" s="213">
        <v>0</v>
      </c>
      <c r="K37" s="214"/>
      <c r="L37" s="215"/>
      <c r="M37" s="213"/>
      <c r="N37" s="211"/>
      <c r="O37" s="211"/>
      <c r="P37" s="211"/>
      <c r="Q37" s="211"/>
      <c r="R37" s="211"/>
      <c r="S37" s="216"/>
      <c r="T37" s="217"/>
      <c r="U37" s="211"/>
      <c r="V37" s="216"/>
      <c r="W37" s="181"/>
      <c r="Z37" s="146">
        <f>IF(AE37=0,0,(J37-AE37)/AE37)</f>
        <v>0</v>
      </c>
      <c r="AA37" s="182"/>
      <c r="AB37" s="165"/>
      <c r="AE37" s="211">
        <v>0</v>
      </c>
      <c r="AF37" s="83"/>
      <c r="AG37" s="213"/>
      <c r="AH37" s="214"/>
      <c r="AI37" s="215"/>
      <c r="AJ37" s="213"/>
      <c r="AK37" s="211"/>
      <c r="AL37" s="211"/>
      <c r="AM37" s="211"/>
      <c r="AN37" s="211"/>
      <c r="AO37" s="211"/>
      <c r="AP37" s="211"/>
      <c r="AQ37" s="211"/>
      <c r="AR37" s="211"/>
      <c r="AS37" s="216"/>
      <c r="AT37" s="83"/>
      <c r="AU37" s="213"/>
      <c r="AV37" s="214"/>
      <c r="AW37" s="215"/>
      <c r="AX37" s="213"/>
      <c r="AY37" s="211"/>
      <c r="AZ37" s="211"/>
      <c r="BA37" s="211"/>
      <c r="BB37" s="211"/>
      <c r="BC37" s="211"/>
      <c r="BD37" s="211"/>
      <c r="BE37" s="211"/>
      <c r="BF37" s="211"/>
      <c r="BG37" s="216"/>
    </row>
    <row r="38" spans="2:59" ht="16.5" hidden="1" collapsed="1" thickBot="1">
      <c r="B38" s="130" t="s">
        <v>83</v>
      </c>
      <c r="C38" s="131"/>
      <c r="D38" s="131">
        <f>IF('[1]Guidelines'!E58="YES","YES","")</f>
      </c>
      <c r="E38" s="131"/>
      <c r="F38" s="132"/>
      <c r="G38" s="132"/>
      <c r="H38" s="132"/>
      <c r="I38" s="132"/>
      <c r="J38" s="218"/>
      <c r="K38" s="218"/>
      <c r="L38" s="132"/>
      <c r="M38" s="132"/>
      <c r="N38" s="132"/>
      <c r="O38" s="132"/>
      <c r="P38" s="132"/>
      <c r="Q38" s="132"/>
      <c r="R38" s="132"/>
      <c r="S38" s="133"/>
      <c r="T38" s="132"/>
      <c r="U38" s="132"/>
      <c r="V38" s="133"/>
      <c r="W38" s="132"/>
      <c r="Z38" s="132"/>
      <c r="AA38" s="132"/>
      <c r="AB38" s="133"/>
      <c r="AE38" s="219"/>
      <c r="AF38" s="83"/>
      <c r="AG38" s="132"/>
      <c r="AH38" s="132"/>
      <c r="AI38" s="132"/>
      <c r="AJ38" s="132"/>
      <c r="AK38" s="132"/>
      <c r="AL38" s="132"/>
      <c r="AM38" s="132"/>
      <c r="AN38" s="132"/>
      <c r="AO38" s="132"/>
      <c r="AP38" s="132"/>
      <c r="AQ38" s="132"/>
      <c r="AR38" s="132"/>
      <c r="AS38" s="133"/>
      <c r="AT38" s="83"/>
      <c r="AU38" s="132"/>
      <c r="AV38" s="132"/>
      <c r="AW38" s="132"/>
      <c r="AX38" s="132"/>
      <c r="AY38" s="132"/>
      <c r="AZ38" s="132"/>
      <c r="BA38" s="132"/>
      <c r="BB38" s="132"/>
      <c r="BC38" s="132"/>
      <c r="BD38" s="132"/>
      <c r="BE38" s="132"/>
      <c r="BF38" s="132"/>
      <c r="BG38" s="133"/>
    </row>
    <row r="39" spans="2:59" ht="15.75" customHeight="1" hidden="1" outlineLevel="1">
      <c r="B39" s="19" t="s">
        <v>84</v>
      </c>
      <c r="C39" s="20"/>
      <c r="D39" s="156"/>
      <c r="E39" s="135"/>
      <c r="F39" s="220"/>
      <c r="G39" s="220"/>
      <c r="H39" s="220"/>
      <c r="I39" s="220"/>
      <c r="J39" s="221"/>
      <c r="K39" s="222"/>
      <c r="L39" s="223">
        <f>J39*(1+K39)</f>
        <v>0</v>
      </c>
      <c r="M39" s="224" t="s">
        <v>85</v>
      </c>
      <c r="N39" s="224"/>
      <c r="O39" s="224"/>
      <c r="P39" s="224"/>
      <c r="Q39" s="224"/>
      <c r="R39" s="224"/>
      <c r="S39" s="225"/>
      <c r="T39" s="224"/>
      <c r="U39" s="224"/>
      <c r="V39" s="225"/>
      <c r="W39" s="145"/>
      <c r="Z39" s="226"/>
      <c r="AA39" s="227"/>
      <c r="AB39" s="228"/>
      <c r="AE39" s="149"/>
      <c r="AF39" s="83"/>
      <c r="AG39" s="229"/>
      <c r="AH39" s="230"/>
      <c r="AI39" s="229"/>
      <c r="AJ39" s="229"/>
      <c r="AK39" s="229"/>
      <c r="AL39" s="229"/>
      <c r="AM39" s="229"/>
      <c r="AN39" s="229"/>
      <c r="AO39" s="229"/>
      <c r="AP39" s="229"/>
      <c r="AQ39" s="229"/>
      <c r="AR39" s="229"/>
      <c r="AS39" s="231"/>
      <c r="AT39" s="83"/>
      <c r="AU39" s="220"/>
      <c r="AV39" s="232"/>
      <c r="AW39" s="233"/>
      <c r="AX39" s="220"/>
      <c r="AY39" s="220"/>
      <c r="AZ39" s="220"/>
      <c r="BA39" s="220"/>
      <c r="BB39" s="220"/>
      <c r="BC39" s="220"/>
      <c r="BD39" s="220"/>
      <c r="BE39" s="220"/>
      <c r="BF39" s="220"/>
      <c r="BG39" s="234"/>
    </row>
    <row r="40" spans="2:59" ht="16.5" hidden="1" outlineLevel="1" thickBot="1">
      <c r="B40" s="19" t="s">
        <v>86</v>
      </c>
      <c r="C40" s="20"/>
      <c r="D40" s="156"/>
      <c r="E40" s="135"/>
      <c r="F40" s="220"/>
      <c r="G40" s="220"/>
      <c r="H40" s="220"/>
      <c r="I40" s="220"/>
      <c r="J40" s="235"/>
      <c r="K40" s="236"/>
      <c r="L40" s="237">
        <f>J40*(1+K40)</f>
        <v>0</v>
      </c>
      <c r="M40" s="238"/>
      <c r="N40" s="238"/>
      <c r="O40" s="238"/>
      <c r="P40" s="238"/>
      <c r="Q40" s="238"/>
      <c r="R40" s="238"/>
      <c r="S40" s="239"/>
      <c r="T40" s="238"/>
      <c r="U40" s="238"/>
      <c r="V40" s="239"/>
      <c r="W40" s="145"/>
      <c r="Z40" s="226"/>
      <c r="AA40" s="227"/>
      <c r="AB40" s="228"/>
      <c r="AE40" s="149"/>
      <c r="AF40" s="83"/>
      <c r="AG40" s="229"/>
      <c r="AH40" s="230"/>
      <c r="AI40" s="229"/>
      <c r="AJ40" s="229"/>
      <c r="AK40" s="229"/>
      <c r="AL40" s="229"/>
      <c r="AM40" s="229"/>
      <c r="AN40" s="229"/>
      <c r="AO40" s="229"/>
      <c r="AP40" s="229"/>
      <c r="AQ40" s="229"/>
      <c r="AR40" s="229"/>
      <c r="AS40" s="231"/>
      <c r="AT40" s="83"/>
      <c r="AU40" s="220"/>
      <c r="AV40" s="232"/>
      <c r="AW40" s="233"/>
      <c r="AX40" s="220"/>
      <c r="AY40" s="220"/>
      <c r="AZ40" s="220"/>
      <c r="BA40" s="220"/>
      <c r="BB40" s="220"/>
      <c r="BC40" s="220"/>
      <c r="BD40" s="220"/>
      <c r="BE40" s="220"/>
      <c r="BF40" s="220"/>
      <c r="BG40" s="234"/>
    </row>
    <row r="41" spans="2:59" ht="15.75" hidden="1" outlineLevel="1">
      <c r="B41" s="171" t="s">
        <v>87</v>
      </c>
      <c r="C41" s="20"/>
      <c r="D41" s="156"/>
      <c r="E41" s="135"/>
      <c r="F41" s="220"/>
      <c r="G41" s="220"/>
      <c r="H41" s="220"/>
      <c r="I41" s="220"/>
      <c r="J41" s="240"/>
      <c r="K41" s="241"/>
      <c r="L41" s="242"/>
      <c r="M41" s="243" t="s">
        <v>88</v>
      </c>
      <c r="N41" s="244"/>
      <c r="O41" s="244"/>
      <c r="P41" s="245"/>
      <c r="Q41" s="245"/>
      <c r="R41" s="245"/>
      <c r="S41" s="246"/>
      <c r="T41" s="245"/>
      <c r="U41" s="245"/>
      <c r="V41" s="246"/>
      <c r="W41" s="145"/>
      <c r="Z41" s="226"/>
      <c r="AA41" s="227"/>
      <c r="AB41" s="228"/>
      <c r="AE41" s="149"/>
      <c r="AF41" s="83"/>
      <c r="AG41" s="229"/>
      <c r="AH41" s="230"/>
      <c r="AI41" s="229"/>
      <c r="AJ41" s="229"/>
      <c r="AK41" s="229"/>
      <c r="AL41" s="229"/>
      <c r="AM41" s="229"/>
      <c r="AN41" s="229"/>
      <c r="AO41" s="229"/>
      <c r="AP41" s="229"/>
      <c r="AQ41" s="229"/>
      <c r="AR41" s="229"/>
      <c r="AS41" s="231"/>
      <c r="AT41" s="83"/>
      <c r="AU41" s="220"/>
      <c r="AV41" s="232"/>
      <c r="AW41" s="233"/>
      <c r="AX41" s="220"/>
      <c r="AY41" s="220"/>
      <c r="AZ41" s="220"/>
      <c r="BA41" s="220"/>
      <c r="BB41" s="220"/>
      <c r="BC41" s="220"/>
      <c r="BD41" s="220"/>
      <c r="BE41" s="220"/>
      <c r="BF41" s="220"/>
      <c r="BG41" s="234"/>
    </row>
    <row r="42" spans="2:59" ht="15.75" hidden="1" outlineLevel="1">
      <c r="B42" s="19" t="s">
        <v>89</v>
      </c>
      <c r="C42" s="20"/>
      <c r="D42" s="156"/>
      <c r="E42" s="135"/>
      <c r="F42" s="220"/>
      <c r="G42" s="220"/>
      <c r="H42" s="220"/>
      <c r="I42" s="220"/>
      <c r="J42" s="247">
        <f>IF($D$38="YES",'[1]Inputs'!O1192,0)</f>
        <v>0</v>
      </c>
      <c r="K42" s="248">
        <f aca="true" t="shared" si="11" ref="K42:K48">$N$93</f>
        <v>0.43</v>
      </c>
      <c r="L42" s="140">
        <f aca="true" t="shared" si="12" ref="L42:L48">J42*(1+K42)</f>
        <v>0</v>
      </c>
      <c r="M42" s="249">
        <f>T('[1]Inputs'!O1200)</f>
      </c>
      <c r="N42" s="249"/>
      <c r="O42" s="249"/>
      <c r="P42" s="249"/>
      <c r="Q42" s="249"/>
      <c r="R42" s="249"/>
      <c r="S42" s="250"/>
      <c r="T42" s="249"/>
      <c r="U42" s="249"/>
      <c r="V42" s="250"/>
      <c r="W42" s="145"/>
      <c r="Z42" s="226"/>
      <c r="AA42" s="227"/>
      <c r="AB42" s="228"/>
      <c r="AE42" s="149"/>
      <c r="AF42" s="83"/>
      <c r="AG42" s="229"/>
      <c r="AH42" s="230"/>
      <c r="AI42" s="229"/>
      <c r="AJ42" s="229"/>
      <c r="AK42" s="229"/>
      <c r="AL42" s="229"/>
      <c r="AM42" s="229"/>
      <c r="AN42" s="229"/>
      <c r="AO42" s="229"/>
      <c r="AP42" s="229"/>
      <c r="AQ42" s="229"/>
      <c r="AR42" s="229"/>
      <c r="AS42" s="231"/>
      <c r="AT42" s="83"/>
      <c r="AU42" s="220"/>
      <c r="AV42" s="232"/>
      <c r="AW42" s="233"/>
      <c r="AX42" s="220"/>
      <c r="AY42" s="220"/>
      <c r="AZ42" s="220"/>
      <c r="BA42" s="220"/>
      <c r="BB42" s="220"/>
      <c r="BC42" s="220"/>
      <c r="BD42" s="220"/>
      <c r="BE42" s="220"/>
      <c r="BF42" s="220"/>
      <c r="BG42" s="234"/>
    </row>
    <row r="43" spans="2:59" ht="15.75" hidden="1" outlineLevel="1">
      <c r="B43" s="19" t="s">
        <v>90</v>
      </c>
      <c r="C43" s="20"/>
      <c r="D43" s="156"/>
      <c r="E43" s="135"/>
      <c r="F43" s="220"/>
      <c r="G43" s="220"/>
      <c r="H43" s="220"/>
      <c r="I43" s="220"/>
      <c r="J43" s="247">
        <f>IF($D$38="YES",'[1]Inputs'!O1193,0)</f>
        <v>0</v>
      </c>
      <c r="K43" s="248">
        <f t="shared" si="11"/>
        <v>0.43</v>
      </c>
      <c r="L43" s="140">
        <f t="shared" si="12"/>
        <v>0</v>
      </c>
      <c r="M43" s="249">
        <f>T('[1]Inputs'!O1201)</f>
      </c>
      <c r="N43" s="249"/>
      <c r="O43" s="249"/>
      <c r="P43" s="249"/>
      <c r="Q43" s="249"/>
      <c r="R43" s="249"/>
      <c r="S43" s="250"/>
      <c r="T43" s="249"/>
      <c r="U43" s="249"/>
      <c r="V43" s="250"/>
      <c r="W43" s="145"/>
      <c r="Z43" s="226"/>
      <c r="AA43" s="227"/>
      <c r="AB43" s="228"/>
      <c r="AE43" s="149"/>
      <c r="AF43" s="83"/>
      <c r="AG43" s="229"/>
      <c r="AH43" s="230"/>
      <c r="AI43" s="229"/>
      <c r="AJ43" s="229"/>
      <c r="AK43" s="229"/>
      <c r="AL43" s="229"/>
      <c r="AM43" s="229"/>
      <c r="AN43" s="229"/>
      <c r="AO43" s="229"/>
      <c r="AP43" s="229"/>
      <c r="AQ43" s="229"/>
      <c r="AR43" s="229"/>
      <c r="AS43" s="231"/>
      <c r="AT43" s="83"/>
      <c r="AU43" s="220"/>
      <c r="AV43" s="232"/>
      <c r="AW43" s="233"/>
      <c r="AX43" s="220"/>
      <c r="AY43" s="220"/>
      <c r="AZ43" s="220"/>
      <c r="BA43" s="220"/>
      <c r="BB43" s="220"/>
      <c r="BC43" s="220"/>
      <c r="BD43" s="220"/>
      <c r="BE43" s="220"/>
      <c r="BF43" s="220"/>
      <c r="BG43" s="234"/>
    </row>
    <row r="44" spans="2:59" ht="15.75" hidden="1" outlineLevel="1">
      <c r="B44" s="19" t="s">
        <v>50</v>
      </c>
      <c r="C44" s="20"/>
      <c r="D44" s="156"/>
      <c r="E44" s="135"/>
      <c r="F44" s="220"/>
      <c r="G44" s="220"/>
      <c r="H44" s="220"/>
      <c r="I44" s="220"/>
      <c r="J44" s="247">
        <f>IF($D$38="YES",'[1]Inputs'!O1194,0)</f>
        <v>0</v>
      </c>
      <c r="K44" s="248">
        <f t="shared" si="11"/>
        <v>0.43</v>
      </c>
      <c r="L44" s="140">
        <f t="shared" si="12"/>
        <v>0</v>
      </c>
      <c r="M44" s="249">
        <f>T('[1]Inputs'!O1202)</f>
      </c>
      <c r="N44" s="249"/>
      <c r="O44" s="249"/>
      <c r="P44" s="249"/>
      <c r="Q44" s="249"/>
      <c r="R44" s="249"/>
      <c r="S44" s="250"/>
      <c r="T44" s="249"/>
      <c r="U44" s="249"/>
      <c r="V44" s="250"/>
      <c r="W44" s="145"/>
      <c r="Z44" s="226"/>
      <c r="AA44" s="227"/>
      <c r="AB44" s="228"/>
      <c r="AE44" s="149"/>
      <c r="AF44" s="83"/>
      <c r="AG44" s="229"/>
      <c r="AH44" s="230"/>
      <c r="AI44" s="229"/>
      <c r="AJ44" s="229"/>
      <c r="AK44" s="229"/>
      <c r="AL44" s="229"/>
      <c r="AM44" s="229"/>
      <c r="AN44" s="229"/>
      <c r="AO44" s="229"/>
      <c r="AP44" s="229"/>
      <c r="AQ44" s="229"/>
      <c r="AR44" s="229"/>
      <c r="AS44" s="231"/>
      <c r="AT44" s="83"/>
      <c r="AU44" s="220"/>
      <c r="AV44" s="232"/>
      <c r="AW44" s="233"/>
      <c r="AX44" s="220"/>
      <c r="AY44" s="220"/>
      <c r="AZ44" s="220"/>
      <c r="BA44" s="220"/>
      <c r="BB44" s="220"/>
      <c r="BC44" s="220"/>
      <c r="BD44" s="220"/>
      <c r="BE44" s="220"/>
      <c r="BF44" s="220"/>
      <c r="BG44" s="234"/>
    </row>
    <row r="45" spans="2:59" ht="15.75" hidden="1" outlineLevel="1">
      <c r="B45" s="19" t="s">
        <v>91</v>
      </c>
      <c r="C45" s="20"/>
      <c r="D45" s="156"/>
      <c r="E45" s="135"/>
      <c r="F45" s="220"/>
      <c r="G45" s="220"/>
      <c r="H45" s="220"/>
      <c r="I45" s="220"/>
      <c r="J45" s="247">
        <f>IF($D$38="YES",'[1]Inputs'!O1195,0)</f>
        <v>0</v>
      </c>
      <c r="K45" s="248">
        <f t="shared" si="11"/>
        <v>0.43</v>
      </c>
      <c r="L45" s="140">
        <f t="shared" si="12"/>
        <v>0</v>
      </c>
      <c r="M45" s="249">
        <f>T('[1]Inputs'!O1203)</f>
      </c>
      <c r="N45" s="249"/>
      <c r="O45" s="249"/>
      <c r="P45" s="249"/>
      <c r="Q45" s="249"/>
      <c r="R45" s="249"/>
      <c r="S45" s="250"/>
      <c r="T45" s="249"/>
      <c r="U45" s="249"/>
      <c r="V45" s="250"/>
      <c r="W45" s="145"/>
      <c r="Z45" s="226"/>
      <c r="AA45" s="227"/>
      <c r="AB45" s="228"/>
      <c r="AE45" s="149"/>
      <c r="AF45" s="83"/>
      <c r="AG45" s="229"/>
      <c r="AH45" s="230"/>
      <c r="AI45" s="229"/>
      <c r="AJ45" s="229"/>
      <c r="AK45" s="229"/>
      <c r="AL45" s="229"/>
      <c r="AM45" s="229"/>
      <c r="AN45" s="229"/>
      <c r="AO45" s="229"/>
      <c r="AP45" s="229"/>
      <c r="AQ45" s="229"/>
      <c r="AR45" s="229"/>
      <c r="AS45" s="231"/>
      <c r="AT45" s="83"/>
      <c r="AU45" s="220"/>
      <c r="AV45" s="232"/>
      <c r="AW45" s="233"/>
      <c r="AX45" s="220"/>
      <c r="AY45" s="220"/>
      <c r="AZ45" s="220"/>
      <c r="BA45" s="220"/>
      <c r="BB45" s="220"/>
      <c r="BC45" s="220"/>
      <c r="BD45" s="220"/>
      <c r="BE45" s="220"/>
      <c r="BF45" s="220"/>
      <c r="BG45" s="234"/>
    </row>
    <row r="46" spans="2:59" ht="15.75" hidden="1" outlineLevel="1">
      <c r="B46" s="19" t="s">
        <v>92</v>
      </c>
      <c r="C46" s="20"/>
      <c r="D46" s="156"/>
      <c r="E46" s="135"/>
      <c r="F46" s="220"/>
      <c r="G46" s="220"/>
      <c r="H46" s="220"/>
      <c r="I46" s="220"/>
      <c r="J46" s="247">
        <f>IF($D$38="YES",'[1]Inputs'!O1196,0)</f>
        <v>0</v>
      </c>
      <c r="K46" s="248">
        <f t="shared" si="11"/>
        <v>0.43</v>
      </c>
      <c r="L46" s="140">
        <f t="shared" si="12"/>
        <v>0</v>
      </c>
      <c r="M46" s="249">
        <f>T('[1]Inputs'!O1204)</f>
      </c>
      <c r="N46" s="249"/>
      <c r="O46" s="249"/>
      <c r="P46" s="249"/>
      <c r="Q46" s="249"/>
      <c r="R46" s="249"/>
      <c r="S46" s="250"/>
      <c r="T46" s="249"/>
      <c r="U46" s="249"/>
      <c r="V46" s="250"/>
      <c r="W46" s="145"/>
      <c r="Z46" s="226"/>
      <c r="AA46" s="227"/>
      <c r="AB46" s="228"/>
      <c r="AE46" s="149"/>
      <c r="AF46" s="83"/>
      <c r="AG46" s="229"/>
      <c r="AH46" s="230"/>
      <c r="AI46" s="229"/>
      <c r="AJ46" s="229"/>
      <c r="AK46" s="229"/>
      <c r="AL46" s="229"/>
      <c r="AM46" s="229"/>
      <c r="AN46" s="229"/>
      <c r="AO46" s="229"/>
      <c r="AP46" s="229"/>
      <c r="AQ46" s="229"/>
      <c r="AR46" s="229"/>
      <c r="AS46" s="231"/>
      <c r="AT46" s="83"/>
      <c r="AU46" s="220"/>
      <c r="AV46" s="232"/>
      <c r="AW46" s="233"/>
      <c r="AX46" s="220"/>
      <c r="AY46" s="220"/>
      <c r="AZ46" s="220"/>
      <c r="BA46" s="220"/>
      <c r="BB46" s="220"/>
      <c r="BC46" s="220"/>
      <c r="BD46" s="220"/>
      <c r="BE46" s="220"/>
      <c r="BF46" s="220"/>
      <c r="BG46" s="234"/>
    </row>
    <row r="47" spans="2:59" ht="15.75" hidden="1" outlineLevel="1">
      <c r="B47" s="19" t="s">
        <v>64</v>
      </c>
      <c r="C47" s="20"/>
      <c r="D47" s="156"/>
      <c r="E47" s="135"/>
      <c r="F47" s="220"/>
      <c r="G47" s="220"/>
      <c r="H47" s="220"/>
      <c r="I47" s="220"/>
      <c r="J47" s="247">
        <f>IF($D$38="YES",'[1]Inputs'!O1197,0)</f>
        <v>0</v>
      </c>
      <c r="K47" s="248">
        <f t="shared" si="11"/>
        <v>0.43</v>
      </c>
      <c r="L47" s="140">
        <f t="shared" si="12"/>
        <v>0</v>
      </c>
      <c r="M47" s="249">
        <f>T('[1]Inputs'!O1205)</f>
      </c>
      <c r="N47" s="249"/>
      <c r="O47" s="249"/>
      <c r="P47" s="249"/>
      <c r="Q47" s="249"/>
      <c r="R47" s="249"/>
      <c r="S47" s="250"/>
      <c r="T47" s="249"/>
      <c r="U47" s="249"/>
      <c r="V47" s="250"/>
      <c r="W47" s="145"/>
      <c r="Z47" s="226"/>
      <c r="AA47" s="227"/>
      <c r="AB47" s="228"/>
      <c r="AE47" s="149"/>
      <c r="AF47" s="83"/>
      <c r="AG47" s="229"/>
      <c r="AH47" s="230"/>
      <c r="AI47" s="229"/>
      <c r="AJ47" s="229"/>
      <c r="AK47" s="229"/>
      <c r="AL47" s="229"/>
      <c r="AM47" s="229"/>
      <c r="AN47" s="229"/>
      <c r="AO47" s="229"/>
      <c r="AP47" s="229"/>
      <c r="AQ47" s="229"/>
      <c r="AR47" s="229"/>
      <c r="AS47" s="231"/>
      <c r="AT47" s="83"/>
      <c r="AU47" s="220"/>
      <c r="AV47" s="232"/>
      <c r="AW47" s="233"/>
      <c r="AX47" s="220"/>
      <c r="AY47" s="220"/>
      <c r="AZ47" s="220"/>
      <c r="BA47" s="220"/>
      <c r="BB47" s="220"/>
      <c r="BC47" s="220"/>
      <c r="BD47" s="220"/>
      <c r="BE47" s="220"/>
      <c r="BF47" s="220"/>
      <c r="BG47" s="234"/>
    </row>
    <row r="48" spans="2:59" ht="15.75" hidden="1" outlineLevel="1">
      <c r="B48" s="19" t="s">
        <v>93</v>
      </c>
      <c r="C48" s="20"/>
      <c r="D48" s="156"/>
      <c r="E48" s="135"/>
      <c r="F48" s="220"/>
      <c r="G48" s="220"/>
      <c r="H48" s="220"/>
      <c r="I48" s="220"/>
      <c r="J48" s="247">
        <f>IF($D$38="YES",'[1]Inputs'!O1198,0)</f>
        <v>0</v>
      </c>
      <c r="K48" s="248">
        <f t="shared" si="11"/>
        <v>0.43</v>
      </c>
      <c r="L48" s="140">
        <f t="shared" si="12"/>
        <v>0</v>
      </c>
      <c r="M48" s="249">
        <f>T('[1]Inputs'!O1206)</f>
      </c>
      <c r="N48" s="249"/>
      <c r="O48" s="249"/>
      <c r="P48" s="249"/>
      <c r="Q48" s="249"/>
      <c r="R48" s="249"/>
      <c r="S48" s="250"/>
      <c r="T48" s="249"/>
      <c r="U48" s="249"/>
      <c r="V48" s="250"/>
      <c r="W48" s="145"/>
      <c r="Z48" s="226"/>
      <c r="AA48" s="227"/>
      <c r="AB48" s="228"/>
      <c r="AE48" s="149"/>
      <c r="AF48" s="83"/>
      <c r="AG48" s="229"/>
      <c r="AH48" s="230"/>
      <c r="AI48" s="229"/>
      <c r="AJ48" s="229"/>
      <c r="AK48" s="229"/>
      <c r="AL48" s="229"/>
      <c r="AM48" s="229"/>
      <c r="AN48" s="229"/>
      <c r="AO48" s="229"/>
      <c r="AP48" s="229"/>
      <c r="AQ48" s="229"/>
      <c r="AR48" s="229"/>
      <c r="AS48" s="231"/>
      <c r="AT48" s="83"/>
      <c r="AU48" s="220"/>
      <c r="AV48" s="232"/>
      <c r="AW48" s="233"/>
      <c r="AX48" s="220"/>
      <c r="AY48" s="220"/>
      <c r="AZ48" s="220"/>
      <c r="BA48" s="220"/>
      <c r="BB48" s="220"/>
      <c r="BC48" s="220"/>
      <c r="BD48" s="220"/>
      <c r="BE48" s="220"/>
      <c r="BF48" s="220"/>
      <c r="BG48" s="234"/>
    </row>
    <row r="49" spans="2:59" ht="15.75" hidden="1" outlineLevel="1">
      <c r="B49" s="251" t="s">
        <v>94</v>
      </c>
      <c r="C49" s="20"/>
      <c r="D49" s="156"/>
      <c r="E49" s="135"/>
      <c r="F49" s="220"/>
      <c r="G49" s="220"/>
      <c r="H49" s="220"/>
      <c r="I49" s="220"/>
      <c r="J49" s="252">
        <f>SUM(J42:J48)+J39+J40</f>
        <v>0</v>
      </c>
      <c r="K49" s="253">
        <f>IF(J49&gt;0,(L49-J49)/J49,0)</f>
        <v>0</v>
      </c>
      <c r="L49" s="204">
        <f>SUM(L42:L48)+L39+L40</f>
        <v>0</v>
      </c>
      <c r="M49" s="245"/>
      <c r="N49" s="245"/>
      <c r="O49" s="245"/>
      <c r="P49" s="245"/>
      <c r="Q49" s="245"/>
      <c r="R49" s="245"/>
      <c r="S49" s="246"/>
      <c r="T49" s="245"/>
      <c r="U49" s="245"/>
      <c r="V49" s="246"/>
      <c r="W49" s="145"/>
      <c r="Z49" s="226"/>
      <c r="AA49" s="227"/>
      <c r="AB49" s="228"/>
      <c r="AE49" s="149"/>
      <c r="AF49" s="83"/>
      <c r="AG49" s="229"/>
      <c r="AH49" s="230"/>
      <c r="AI49" s="229"/>
      <c r="AJ49" s="229"/>
      <c r="AK49" s="229"/>
      <c r="AL49" s="229"/>
      <c r="AM49" s="229"/>
      <c r="AN49" s="229"/>
      <c r="AO49" s="229"/>
      <c r="AP49" s="229"/>
      <c r="AQ49" s="229"/>
      <c r="AR49" s="229"/>
      <c r="AS49" s="231"/>
      <c r="AT49" s="83"/>
      <c r="AU49" s="220"/>
      <c r="AV49" s="232"/>
      <c r="AW49" s="233"/>
      <c r="AX49" s="220"/>
      <c r="AY49" s="220"/>
      <c r="AZ49" s="220"/>
      <c r="BA49" s="220"/>
      <c r="BB49" s="220"/>
      <c r="BC49" s="220"/>
      <c r="BD49" s="220"/>
      <c r="BE49" s="220"/>
      <c r="BF49" s="220"/>
      <c r="BG49" s="234"/>
    </row>
    <row r="50" spans="2:59" ht="15.75" hidden="1" outlineLevel="1">
      <c r="B50" s="251" t="s">
        <v>95</v>
      </c>
      <c r="C50" s="20"/>
      <c r="D50" s="156"/>
      <c r="E50" s="135"/>
      <c r="F50" s="220"/>
      <c r="G50" s="220"/>
      <c r="H50" s="220"/>
      <c r="I50" s="220"/>
      <c r="J50" s="252">
        <f>J49+J36+J28</f>
        <v>45</v>
      </c>
      <c r="K50" s="253">
        <f>IF(J50&gt;0,(L50-J50)/J50,0)</f>
        <v>0.3677777777777777</v>
      </c>
      <c r="L50" s="204">
        <f>L49+L36+L28</f>
        <v>61.55</v>
      </c>
      <c r="M50" s="245"/>
      <c r="N50" s="245"/>
      <c r="O50" s="245"/>
      <c r="P50" s="245"/>
      <c r="Q50" s="245"/>
      <c r="R50" s="245"/>
      <c r="S50" s="246"/>
      <c r="T50" s="245"/>
      <c r="U50" s="245"/>
      <c r="V50" s="246"/>
      <c r="W50" s="145"/>
      <c r="Z50" s="226"/>
      <c r="AA50" s="227"/>
      <c r="AB50" s="228"/>
      <c r="AE50" s="149"/>
      <c r="AF50" s="83"/>
      <c r="AG50" s="229"/>
      <c r="AH50" s="230"/>
      <c r="AI50" s="229"/>
      <c r="AJ50" s="229"/>
      <c r="AK50" s="229"/>
      <c r="AL50" s="229"/>
      <c r="AM50" s="229"/>
      <c r="AN50" s="229"/>
      <c r="AO50" s="229"/>
      <c r="AP50" s="229"/>
      <c r="AQ50" s="229"/>
      <c r="AR50" s="229"/>
      <c r="AS50" s="231"/>
      <c r="AT50" s="83"/>
      <c r="AU50" s="220"/>
      <c r="AV50" s="232"/>
      <c r="AW50" s="233"/>
      <c r="AX50" s="220"/>
      <c r="AY50" s="220"/>
      <c r="AZ50" s="220"/>
      <c r="BA50" s="220"/>
      <c r="BB50" s="220"/>
      <c r="BC50" s="220"/>
      <c r="BD50" s="220"/>
      <c r="BE50" s="220"/>
      <c r="BF50" s="220"/>
      <c r="BG50" s="234"/>
    </row>
    <row r="51" spans="2:59" ht="15.75" hidden="1" outlineLevel="1">
      <c r="B51" s="251" t="s">
        <v>96</v>
      </c>
      <c r="C51" s="20"/>
      <c r="D51" s="156"/>
      <c r="E51" s="135"/>
      <c r="F51" s="220"/>
      <c r="G51" s="220"/>
      <c r="H51" s="220"/>
      <c r="I51" s="220"/>
      <c r="J51" s="254"/>
      <c r="K51" s="255"/>
      <c r="L51" s="256"/>
      <c r="M51" s="245"/>
      <c r="N51" s="245"/>
      <c r="O51" s="245"/>
      <c r="P51" s="245"/>
      <c r="Q51" s="245"/>
      <c r="R51" s="245"/>
      <c r="S51" s="246"/>
      <c r="T51" s="245"/>
      <c r="U51" s="245"/>
      <c r="V51" s="246"/>
      <c r="W51" s="145"/>
      <c r="Z51" s="226"/>
      <c r="AA51" s="227"/>
      <c r="AB51" s="228"/>
      <c r="AE51" s="149"/>
      <c r="AF51" s="83"/>
      <c r="AG51" s="229"/>
      <c r="AH51" s="230"/>
      <c r="AI51" s="229"/>
      <c r="AJ51" s="229"/>
      <c r="AK51" s="229"/>
      <c r="AL51" s="229"/>
      <c r="AM51" s="229"/>
      <c r="AN51" s="229"/>
      <c r="AO51" s="229"/>
      <c r="AP51" s="229"/>
      <c r="AQ51" s="229"/>
      <c r="AR51" s="229"/>
      <c r="AS51" s="231"/>
      <c r="AT51" s="83"/>
      <c r="AU51" s="220"/>
      <c r="AV51" s="232"/>
      <c r="AW51" s="233"/>
      <c r="AX51" s="220"/>
      <c r="AY51" s="220"/>
      <c r="AZ51" s="220"/>
      <c r="BA51" s="220"/>
      <c r="BB51" s="220"/>
      <c r="BC51" s="220"/>
      <c r="BD51" s="220"/>
      <c r="BE51" s="220"/>
      <c r="BF51" s="220"/>
      <c r="BG51" s="234"/>
    </row>
    <row r="52" spans="2:59" ht="16.5" hidden="1" outlineLevel="1" thickBot="1">
      <c r="B52" s="257" t="s">
        <v>97</v>
      </c>
      <c r="C52" s="20"/>
      <c r="D52" s="156"/>
      <c r="E52" s="135"/>
      <c r="F52" s="220"/>
      <c r="G52" s="220"/>
      <c r="H52" s="220"/>
      <c r="I52" s="220"/>
      <c r="J52" s="258"/>
      <c r="K52" s="259"/>
      <c r="L52" s="260"/>
      <c r="M52" s="249"/>
      <c r="N52" s="249"/>
      <c r="O52" s="249"/>
      <c r="P52" s="249"/>
      <c r="Q52" s="249"/>
      <c r="R52" s="249"/>
      <c r="S52" s="250"/>
      <c r="T52" s="249"/>
      <c r="U52" s="249"/>
      <c r="V52" s="250"/>
      <c r="W52" s="145"/>
      <c r="Z52" s="226"/>
      <c r="AA52" s="227"/>
      <c r="AB52" s="228"/>
      <c r="AE52" s="149"/>
      <c r="AF52" s="83"/>
      <c r="AG52" s="229"/>
      <c r="AH52" s="230"/>
      <c r="AI52" s="229"/>
      <c r="AJ52" s="229"/>
      <c r="AK52" s="229"/>
      <c r="AL52" s="229"/>
      <c r="AM52" s="229"/>
      <c r="AN52" s="229"/>
      <c r="AO52" s="229"/>
      <c r="AP52" s="229"/>
      <c r="AQ52" s="229"/>
      <c r="AR52" s="229"/>
      <c r="AS52" s="231"/>
      <c r="AT52" s="83"/>
      <c r="AU52" s="220"/>
      <c r="AV52" s="232"/>
      <c r="AW52" s="233"/>
      <c r="AX52" s="220"/>
      <c r="AY52" s="220"/>
      <c r="AZ52" s="220"/>
      <c r="BA52" s="220"/>
      <c r="BB52" s="220"/>
      <c r="BC52" s="220"/>
      <c r="BD52" s="220"/>
      <c r="BE52" s="220"/>
      <c r="BF52" s="220"/>
      <c r="BG52" s="234"/>
    </row>
    <row r="53" spans="2:59" ht="16.5" thickBot="1">
      <c r="B53" s="130" t="s">
        <v>98</v>
      </c>
      <c r="C53" s="131"/>
      <c r="D53" s="131"/>
      <c r="E53" s="131"/>
      <c r="F53" s="132"/>
      <c r="G53" s="132"/>
      <c r="H53" s="132"/>
      <c r="I53" s="132"/>
      <c r="J53" s="218"/>
      <c r="K53" s="218" t="s">
        <v>99</v>
      </c>
      <c r="L53" s="132"/>
      <c r="M53" s="132"/>
      <c r="N53" s="132"/>
      <c r="O53" s="132"/>
      <c r="P53" s="132"/>
      <c r="Q53" s="132"/>
      <c r="R53" s="133"/>
      <c r="S53" s="133"/>
      <c r="T53" s="132"/>
      <c r="U53" s="132"/>
      <c r="V53" s="133"/>
      <c r="W53" s="132"/>
      <c r="Z53" s="132"/>
      <c r="AA53" s="132"/>
      <c r="AB53" s="133"/>
      <c r="AE53" s="219"/>
      <c r="AF53" s="83"/>
      <c r="AG53" s="132"/>
      <c r="AH53" s="132"/>
      <c r="AI53" s="132"/>
      <c r="AJ53" s="132"/>
      <c r="AK53" s="132"/>
      <c r="AL53" s="132"/>
      <c r="AM53" s="132"/>
      <c r="AN53" s="132"/>
      <c r="AO53" s="132"/>
      <c r="AP53" s="132"/>
      <c r="AQ53" s="132"/>
      <c r="AR53" s="132"/>
      <c r="AS53" s="133"/>
      <c r="AT53" s="83"/>
      <c r="AU53" s="132"/>
      <c r="AV53" s="132"/>
      <c r="AW53" s="132"/>
      <c r="AX53" s="132"/>
      <c r="AY53" s="132"/>
      <c r="AZ53" s="132"/>
      <c r="BA53" s="132"/>
      <c r="BB53" s="132"/>
      <c r="BC53" s="132"/>
      <c r="BD53" s="132"/>
      <c r="BE53" s="132"/>
      <c r="BF53" s="132"/>
      <c r="BG53" s="133"/>
    </row>
    <row r="54" spans="2:59" ht="15.75">
      <c r="B54" s="19" t="s">
        <v>100</v>
      </c>
      <c r="C54" s="20"/>
      <c r="D54" s="156"/>
      <c r="E54" s="135">
        <f aca="true" t="shared" si="13" ref="E54:E64">IF($J$67&gt;0,J54/$J$67,0)</f>
        <v>0.7407407407407407</v>
      </c>
      <c r="F54" s="136">
        <v>0</v>
      </c>
      <c r="G54" s="136"/>
      <c r="H54" s="136"/>
      <c r="I54" s="137"/>
      <c r="J54" s="261">
        <v>200</v>
      </c>
      <c r="K54" s="262">
        <v>0.3</v>
      </c>
      <c r="L54" s="263">
        <f aca="true" t="shared" si="14" ref="L54:L64">J54*(1+K54)</f>
        <v>260</v>
      </c>
      <c r="M54" s="721"/>
      <c r="N54" s="722"/>
      <c r="O54" s="722"/>
      <c r="P54" s="722"/>
      <c r="Q54" s="722"/>
      <c r="R54" s="723"/>
      <c r="S54" s="264">
        <f aca="true" t="shared" si="15" ref="S54:V60">IF(BD54="",AP54,BD54)</f>
        <v>0</v>
      </c>
      <c r="T54" s="265">
        <f t="shared" si="15"/>
        <v>0</v>
      </c>
      <c r="U54" s="141">
        <f t="shared" si="15"/>
        <v>0</v>
      </c>
      <c r="V54" s="266">
        <f t="shared" si="15"/>
        <v>0</v>
      </c>
      <c r="W54" s="145">
        <f>'[1]Inputs'!$O481</f>
        <v>0</v>
      </c>
      <c r="Z54" s="146">
        <f aca="true" t="shared" si="16" ref="Z54:Z75">IF(AE54=0,0,(J54-AE54)/AE54)</f>
        <v>0</v>
      </c>
      <c r="AA54" s="147">
        <f>'[1]Inputs'!$O440+'[1]Inputs'!$O441</f>
        <v>0</v>
      </c>
      <c r="AB54" s="148">
        <f>'[1]Inputs'!O480</f>
        <v>39763.5871290509</v>
      </c>
      <c r="AE54" s="149">
        <v>0</v>
      </c>
      <c r="AF54" s="83"/>
      <c r="AG54" s="150">
        <f>'[1]Inputs'!$O437</f>
        <v>0</v>
      </c>
      <c r="AH54" s="151">
        <f>'[1]Inputs'!$O439</f>
        <v>0</v>
      </c>
      <c r="AI54" s="140">
        <f>'[1]Inputs'!$O438</f>
        <v>0</v>
      </c>
      <c r="AJ54" s="150">
        <f>'[1]Inputs'!$O445</f>
        <v>0</v>
      </c>
      <c r="AK54" s="149">
        <f>'[1]Inputs'!$O$446</f>
        <v>0</v>
      </c>
      <c r="AL54" s="149">
        <f>'[1]Inputs'!$O$447</f>
        <v>0</v>
      </c>
      <c r="AM54" s="149">
        <f>'[1]Inputs'!$O$448</f>
        <v>0</v>
      </c>
      <c r="AN54" s="149">
        <f>'[1]Inputs'!$O$449</f>
        <v>0</v>
      </c>
      <c r="AO54" s="149">
        <f>'[1]Inputs'!$O$450</f>
        <v>0</v>
      </c>
      <c r="AP54" s="149">
        <f>'[1]Inputs'!$O$451</f>
        <v>0</v>
      </c>
      <c r="AQ54" s="149">
        <f>'[1]Inputs'!$O$452</f>
        <v>0</v>
      </c>
      <c r="AR54" s="149">
        <f>'[1]Inputs'!$O$453</f>
        <v>0</v>
      </c>
      <c r="AS54" s="140">
        <f>'[1]Inputs'!$O$454</f>
        <v>0</v>
      </c>
      <c r="AT54" s="83"/>
      <c r="AU54" s="152"/>
      <c r="AV54" s="153"/>
      <c r="AW54" s="154"/>
      <c r="AX54" s="152"/>
      <c r="AY54" s="136"/>
      <c r="AZ54" s="136"/>
      <c r="BA54" s="136"/>
      <c r="BB54" s="136"/>
      <c r="BC54" s="136"/>
      <c r="BD54" s="136"/>
      <c r="BE54" s="136"/>
      <c r="BF54" s="136"/>
      <c r="BG54" s="155"/>
    </row>
    <row r="55" spans="2:59" ht="15.75" hidden="1">
      <c r="B55" s="19" t="s">
        <v>90</v>
      </c>
      <c r="C55" s="20"/>
      <c r="D55" s="156"/>
      <c r="E55" s="135">
        <f t="shared" si="13"/>
        <v>0</v>
      </c>
      <c r="F55" s="136">
        <v>0</v>
      </c>
      <c r="G55" s="136"/>
      <c r="H55" s="136"/>
      <c r="I55" s="137"/>
      <c r="J55" s="138">
        <f aca="true" t="shared" si="17" ref="J55:K60">IF(AU55="",AG55,AU55)</f>
        <v>0</v>
      </c>
      <c r="K55" s="139">
        <f t="shared" si="17"/>
        <v>0</v>
      </c>
      <c r="L55" s="140">
        <f t="shared" si="14"/>
        <v>0</v>
      </c>
      <c r="M55" s="267"/>
      <c r="N55" s="268"/>
      <c r="O55" s="268"/>
      <c r="P55" s="268"/>
      <c r="Q55" s="268"/>
      <c r="R55" s="269"/>
      <c r="S55" s="264">
        <f t="shared" si="15"/>
        <v>0</v>
      </c>
      <c r="T55" s="265">
        <f t="shared" si="15"/>
        <v>0</v>
      </c>
      <c r="U55" s="141">
        <f t="shared" si="15"/>
        <v>0</v>
      </c>
      <c r="V55" s="266">
        <f t="shared" si="15"/>
        <v>0</v>
      </c>
      <c r="W55" s="145">
        <f>'[1]Inputs'!$O499</f>
        <v>5</v>
      </c>
      <c r="Z55" s="146">
        <f t="shared" si="16"/>
        <v>0</v>
      </c>
      <c r="AA55" s="147">
        <f>'[1]Inputs'!$O486+'[1]Inputs'!$O488</f>
        <v>0</v>
      </c>
      <c r="AB55" s="148">
        <f>'[1]Inputs'!O1254</f>
        <v>0.120763</v>
      </c>
      <c r="AE55" s="149">
        <v>0</v>
      </c>
      <c r="AF55" s="83"/>
      <c r="AG55" s="150">
        <f>IF(ISTEXT('[1]Inputs'!$O483),0,'[1]Inputs'!$O483)</f>
        <v>0</v>
      </c>
      <c r="AH55" s="151">
        <f>'[1]Inputs'!$O485</f>
        <v>0</v>
      </c>
      <c r="AI55" s="140">
        <f>'[1]Inputs'!$O484</f>
        <v>0</v>
      </c>
      <c r="AJ55" s="150">
        <f>'[1]Inputs'!$O489</f>
        <v>0</v>
      </c>
      <c r="AK55" s="149">
        <f>'[1]Inputs'!$O$490</f>
        <v>0</v>
      </c>
      <c r="AL55" s="149">
        <f>'[1]Inputs'!$O$491</f>
        <v>0</v>
      </c>
      <c r="AM55" s="149">
        <f>'[1]Inputs'!$O$492</f>
        <v>0</v>
      </c>
      <c r="AN55" s="149">
        <f>'[1]Inputs'!$O$493</f>
        <v>0</v>
      </c>
      <c r="AO55" s="149">
        <f>'[1]Inputs'!$O$494</f>
        <v>0</v>
      </c>
      <c r="AP55" s="149">
        <f>'[1]Inputs'!$O$495</f>
        <v>0</v>
      </c>
      <c r="AQ55" s="149">
        <f>'[1]Inputs'!$O$496</f>
        <v>0</v>
      </c>
      <c r="AR55" s="149">
        <f>'[1]Inputs'!$O$497</f>
        <v>0</v>
      </c>
      <c r="AS55" s="140">
        <f>'[1]Inputs'!$O$498</f>
        <v>0</v>
      </c>
      <c r="AT55" s="83"/>
      <c r="AU55" s="152"/>
      <c r="AV55" s="153"/>
      <c r="AW55" s="154"/>
      <c r="AX55" s="152"/>
      <c r="AY55" s="136"/>
      <c r="AZ55" s="136"/>
      <c r="BA55" s="136"/>
      <c r="BB55" s="136"/>
      <c r="BC55" s="136"/>
      <c r="BD55" s="136"/>
      <c r="BE55" s="136"/>
      <c r="BF55" s="136"/>
      <c r="BG55" s="155"/>
    </row>
    <row r="56" spans="2:59" ht="15.75" hidden="1">
      <c r="B56" s="19" t="s">
        <v>50</v>
      </c>
      <c r="C56" s="20"/>
      <c r="D56" s="156"/>
      <c r="E56" s="135">
        <f t="shared" si="13"/>
        <v>0</v>
      </c>
      <c r="F56" s="136">
        <v>0</v>
      </c>
      <c r="G56" s="136"/>
      <c r="H56" s="136"/>
      <c r="I56" s="137"/>
      <c r="J56" s="138">
        <f t="shared" si="17"/>
        <v>0</v>
      </c>
      <c r="K56" s="139">
        <f t="shared" si="17"/>
        <v>0</v>
      </c>
      <c r="L56" s="140">
        <f t="shared" si="14"/>
        <v>0</v>
      </c>
      <c r="M56" s="267"/>
      <c r="N56" s="268"/>
      <c r="O56" s="268"/>
      <c r="P56" s="268"/>
      <c r="Q56" s="268"/>
      <c r="R56" s="269"/>
      <c r="S56" s="264">
        <f t="shared" si="15"/>
        <v>0</v>
      </c>
      <c r="T56" s="265">
        <f t="shared" si="15"/>
        <v>0</v>
      </c>
      <c r="U56" s="141">
        <f t="shared" si="15"/>
        <v>0</v>
      </c>
      <c r="V56" s="266">
        <f t="shared" si="15"/>
        <v>0</v>
      </c>
      <c r="W56" s="145">
        <f>'[1]Inputs'!$O517</f>
        <v>6</v>
      </c>
      <c r="Z56" s="146">
        <f t="shared" si="16"/>
        <v>0</v>
      </c>
      <c r="AA56" s="147">
        <f>'[1]Inputs'!$O503+'[1]Inputs'!$O504</f>
        <v>0</v>
      </c>
      <c r="AB56" s="148">
        <f>'[1]Inputs'!O518</f>
        <v>39763.582321412</v>
      </c>
      <c r="AE56" s="149">
        <v>0</v>
      </c>
      <c r="AF56" s="83"/>
      <c r="AG56" s="150">
        <f>'[1]Inputs'!$O500</f>
        <v>0</v>
      </c>
      <c r="AH56" s="151">
        <f>'[1]Inputs'!$O502</f>
        <v>0</v>
      </c>
      <c r="AI56" s="140">
        <f>'[1]Inputs'!$O501</f>
        <v>0</v>
      </c>
      <c r="AJ56" s="150">
        <f>'[1]Inputs'!$O505</f>
        <v>0</v>
      </c>
      <c r="AK56" s="149">
        <f>'[1]Inputs'!$O$506</f>
        <v>0</v>
      </c>
      <c r="AL56" s="149">
        <f>'[1]Inputs'!$O$507</f>
        <v>0</v>
      </c>
      <c r="AM56" s="149">
        <f>'[1]Inputs'!$O$508</f>
        <v>0</v>
      </c>
      <c r="AN56" s="149">
        <f>'[1]Inputs'!$O$509</f>
        <v>0</v>
      </c>
      <c r="AO56" s="149">
        <f>'[1]Inputs'!$O$510</f>
        <v>0</v>
      </c>
      <c r="AP56" s="149">
        <f>'[1]Inputs'!$O$511</f>
        <v>0</v>
      </c>
      <c r="AQ56" s="149">
        <f>'[1]Inputs'!$O$512</f>
        <v>0</v>
      </c>
      <c r="AR56" s="149">
        <f>'[1]Inputs'!$O$513</f>
        <v>0</v>
      </c>
      <c r="AS56" s="140">
        <f>'[1]Inputs'!$O$514</f>
        <v>0</v>
      </c>
      <c r="AT56" s="83"/>
      <c r="AU56" s="152"/>
      <c r="AV56" s="153"/>
      <c r="AW56" s="154"/>
      <c r="AX56" s="152"/>
      <c r="AY56" s="136"/>
      <c r="AZ56" s="136"/>
      <c r="BA56" s="136"/>
      <c r="BB56" s="136"/>
      <c r="BC56" s="136"/>
      <c r="BD56" s="136"/>
      <c r="BE56" s="136"/>
      <c r="BF56" s="136"/>
      <c r="BG56" s="155"/>
    </row>
    <row r="57" spans="2:59" ht="15.75" hidden="1">
      <c r="B57" s="19" t="s">
        <v>101</v>
      </c>
      <c r="C57" s="20"/>
      <c r="D57" s="156"/>
      <c r="E57" s="135">
        <f t="shared" si="13"/>
        <v>0</v>
      </c>
      <c r="F57" s="136">
        <v>0</v>
      </c>
      <c r="G57" s="136"/>
      <c r="H57" s="136"/>
      <c r="I57" s="137"/>
      <c r="J57" s="138">
        <f t="shared" si="17"/>
        <v>0</v>
      </c>
      <c r="K57" s="139">
        <f t="shared" si="17"/>
        <v>0</v>
      </c>
      <c r="L57" s="140">
        <f t="shared" si="14"/>
        <v>0</v>
      </c>
      <c r="M57" s="267"/>
      <c r="N57" s="268"/>
      <c r="O57" s="268"/>
      <c r="P57" s="268"/>
      <c r="Q57" s="268"/>
      <c r="R57" s="269"/>
      <c r="S57" s="264">
        <f t="shared" si="15"/>
        <v>0</v>
      </c>
      <c r="T57" s="265">
        <f t="shared" si="15"/>
        <v>0</v>
      </c>
      <c r="U57" s="141">
        <f t="shared" si="15"/>
        <v>0</v>
      </c>
      <c r="V57" s="266">
        <f t="shared" si="15"/>
        <v>0</v>
      </c>
      <c r="W57" s="145">
        <f>'[1]Inputs'!$O595</f>
        <v>0</v>
      </c>
      <c r="Z57" s="146">
        <f t="shared" si="16"/>
        <v>0</v>
      </c>
      <c r="AA57" s="147">
        <f>'[1]Inputs'!$O568+'[1]Inputs'!$O571</f>
        <v>0</v>
      </c>
      <c r="AB57" s="148">
        <f>'[1]Inputs'!O628</f>
        <v>0</v>
      </c>
      <c r="AE57" s="149">
        <v>0</v>
      </c>
      <c r="AF57" s="83"/>
      <c r="AG57" s="150">
        <f>'[1]Inputs'!$O559</f>
        <v>0</v>
      </c>
      <c r="AH57" s="151">
        <f>'[1]Inputs'!$O565</f>
        <v>0</v>
      </c>
      <c r="AI57" s="140">
        <f>'[1]Inputs'!$O562</f>
        <v>0</v>
      </c>
      <c r="AJ57" s="150">
        <f>'[1]Inputs'!$O598</f>
        <v>0</v>
      </c>
      <c r="AK57" s="149">
        <f>'[1]Inputs'!$O$601</f>
        <v>0</v>
      </c>
      <c r="AL57" s="149">
        <f>'[1]Inputs'!$O$602</f>
        <v>0</v>
      </c>
      <c r="AM57" s="149">
        <f>'[1]Inputs'!$O$607</f>
        <v>0</v>
      </c>
      <c r="AN57" s="149">
        <f>'[1]Inputs'!$O$610</f>
        <v>0</v>
      </c>
      <c r="AO57" s="149">
        <f>'[1]Inputs'!$O$613</f>
        <v>0</v>
      </c>
      <c r="AP57" s="149">
        <f>'[1]Inputs'!$O$616</f>
        <v>0</v>
      </c>
      <c r="AQ57" s="149">
        <f>'[1]Inputs'!$O$619</f>
        <v>0</v>
      </c>
      <c r="AR57" s="149">
        <f>'[1]Inputs'!$O$622</f>
        <v>0</v>
      </c>
      <c r="AS57" s="140">
        <f>'[1]Inputs'!$O$625</f>
        <v>0</v>
      </c>
      <c r="AT57" s="83"/>
      <c r="AU57" s="152"/>
      <c r="AV57" s="153"/>
      <c r="AW57" s="154"/>
      <c r="AX57" s="152"/>
      <c r="AY57" s="136"/>
      <c r="AZ57" s="136"/>
      <c r="BA57" s="136"/>
      <c r="BB57" s="136"/>
      <c r="BC57" s="136"/>
      <c r="BD57" s="136"/>
      <c r="BE57" s="136"/>
      <c r="BF57" s="136"/>
      <c r="BG57" s="155"/>
    </row>
    <row r="58" spans="2:59" ht="15.75" hidden="1">
      <c r="B58" s="19" t="s">
        <v>102</v>
      </c>
      <c r="C58" s="20"/>
      <c r="D58" s="156"/>
      <c r="E58" s="135">
        <f t="shared" si="13"/>
        <v>0</v>
      </c>
      <c r="F58" s="136">
        <v>0</v>
      </c>
      <c r="G58" s="136"/>
      <c r="H58" s="136"/>
      <c r="I58" s="137"/>
      <c r="J58" s="138">
        <f t="shared" si="17"/>
        <v>0</v>
      </c>
      <c r="K58" s="139">
        <f t="shared" si="17"/>
        <v>0</v>
      </c>
      <c r="L58" s="140">
        <f t="shared" si="14"/>
        <v>0</v>
      </c>
      <c r="M58" s="267"/>
      <c r="N58" s="268"/>
      <c r="O58" s="268"/>
      <c r="P58" s="268"/>
      <c r="Q58" s="268"/>
      <c r="R58" s="269"/>
      <c r="S58" s="264">
        <f t="shared" si="15"/>
        <v>0</v>
      </c>
      <c r="T58" s="265">
        <f t="shared" si="15"/>
        <v>0</v>
      </c>
      <c r="U58" s="141">
        <f t="shared" si="15"/>
        <v>0</v>
      </c>
      <c r="V58" s="266">
        <f t="shared" si="15"/>
        <v>0</v>
      </c>
      <c r="W58" s="145">
        <f>'[1]Inputs'!$O596</f>
        <v>0</v>
      </c>
      <c r="Z58" s="146">
        <f t="shared" si="16"/>
        <v>0</v>
      </c>
      <c r="AA58" s="147">
        <f>'[1]Inputs'!$O569+'[1]Inputs'!$O572</f>
        <v>0</v>
      </c>
      <c r="AB58" s="148">
        <f>'[1]Inputs'!O628</f>
        <v>0</v>
      </c>
      <c r="AE58" s="149">
        <v>0</v>
      </c>
      <c r="AF58" s="83"/>
      <c r="AG58" s="150">
        <f>'[1]Inputs'!$O560</f>
        <v>0</v>
      </c>
      <c r="AH58" s="151">
        <f>'[1]Inputs'!$O566</f>
        <v>0</v>
      </c>
      <c r="AI58" s="140">
        <f>'[1]Inputs'!$O563</f>
        <v>0</v>
      </c>
      <c r="AJ58" s="150">
        <f>'[1]Inputs'!$O599</f>
        <v>0</v>
      </c>
      <c r="AK58" s="149">
        <f>'[1]Inputs'!$O$603</f>
        <v>0</v>
      </c>
      <c r="AL58" s="149">
        <f>'[1]Inputs'!$O$604</f>
        <v>0</v>
      </c>
      <c r="AM58" s="149">
        <f>'[1]Inputs'!$O$608</f>
        <v>0</v>
      </c>
      <c r="AN58" s="149">
        <f>'[1]Inputs'!$O$611</f>
        <v>0</v>
      </c>
      <c r="AO58" s="149">
        <f>'[1]Inputs'!$O$614</f>
        <v>0</v>
      </c>
      <c r="AP58" s="149">
        <f>'[1]Inputs'!$O$617</f>
        <v>0</v>
      </c>
      <c r="AQ58" s="149">
        <f>'[1]Inputs'!$O$620</f>
        <v>0</v>
      </c>
      <c r="AR58" s="149">
        <f>'[1]Inputs'!$O$623</f>
        <v>0</v>
      </c>
      <c r="AS58" s="140">
        <f>'[1]Inputs'!$O$626</f>
        <v>0</v>
      </c>
      <c r="AT58" s="83"/>
      <c r="AU58" s="152"/>
      <c r="AV58" s="153"/>
      <c r="AW58" s="154"/>
      <c r="AX58" s="152"/>
      <c r="AY58" s="136"/>
      <c r="AZ58" s="136"/>
      <c r="BA58" s="136"/>
      <c r="BB58" s="136"/>
      <c r="BC58" s="136"/>
      <c r="BD58" s="136"/>
      <c r="BE58" s="136"/>
      <c r="BF58" s="136"/>
      <c r="BG58" s="155"/>
    </row>
    <row r="59" spans="2:59" ht="15.75" hidden="1">
      <c r="B59" s="19" t="s">
        <v>103</v>
      </c>
      <c r="C59" s="20"/>
      <c r="D59" s="156"/>
      <c r="E59" s="135">
        <f t="shared" si="13"/>
        <v>0</v>
      </c>
      <c r="F59" s="136"/>
      <c r="G59" s="136"/>
      <c r="H59" s="136"/>
      <c r="I59" s="137"/>
      <c r="J59" s="138">
        <f t="shared" si="17"/>
        <v>0</v>
      </c>
      <c r="K59" s="139">
        <f t="shared" si="17"/>
        <v>0</v>
      </c>
      <c r="L59" s="140">
        <f t="shared" si="14"/>
        <v>0</v>
      </c>
      <c r="M59" s="267"/>
      <c r="N59" s="268"/>
      <c r="O59" s="268"/>
      <c r="P59" s="268"/>
      <c r="Q59" s="268"/>
      <c r="R59" s="269"/>
      <c r="S59" s="264">
        <f t="shared" si="15"/>
        <v>0</v>
      </c>
      <c r="T59" s="265">
        <f t="shared" si="15"/>
        <v>0</v>
      </c>
      <c r="U59" s="141">
        <f t="shared" si="15"/>
        <v>0</v>
      </c>
      <c r="V59" s="266">
        <f t="shared" si="15"/>
        <v>0</v>
      </c>
      <c r="W59" s="145">
        <f>'[1]Inputs'!$O597</f>
        <v>0</v>
      </c>
      <c r="Z59" s="146">
        <f t="shared" si="16"/>
        <v>0</v>
      </c>
      <c r="AA59" s="147">
        <f>'[1]Inputs'!$O570+'[1]Inputs'!$O573</f>
        <v>0</v>
      </c>
      <c r="AB59" s="148">
        <f>AB58</f>
        <v>0</v>
      </c>
      <c r="AE59" s="149">
        <v>0</v>
      </c>
      <c r="AF59" s="83"/>
      <c r="AG59" s="150">
        <f>'[1]Inputs'!$O561</f>
        <v>0</v>
      </c>
      <c r="AH59" s="151">
        <f>'[1]Inputs'!$O567</f>
        <v>0</v>
      </c>
      <c r="AI59" s="140">
        <f>'[1]Inputs'!$O564</f>
        <v>0</v>
      </c>
      <c r="AJ59" s="150">
        <f>'[1]Inputs'!$O600</f>
        <v>0</v>
      </c>
      <c r="AK59" s="149">
        <f>'[1]Inputs'!$O$605</f>
        <v>0</v>
      </c>
      <c r="AL59" s="149">
        <f>'[1]Inputs'!$O$606</f>
        <v>0</v>
      </c>
      <c r="AM59" s="149">
        <f>'[1]Inputs'!$O$609</f>
        <v>0</v>
      </c>
      <c r="AN59" s="149">
        <f>'[1]Inputs'!$O$612</f>
        <v>0</v>
      </c>
      <c r="AO59" s="149">
        <f>'[1]Inputs'!$O$615</f>
        <v>0</v>
      </c>
      <c r="AP59" s="149">
        <f>'[1]Inputs'!$O$618</f>
        <v>0</v>
      </c>
      <c r="AQ59" s="149">
        <f>'[1]Inputs'!$O$621</f>
        <v>0</v>
      </c>
      <c r="AR59" s="149">
        <f>'[1]Inputs'!$O$624</f>
        <v>0</v>
      </c>
      <c r="AS59" s="140">
        <f>'[1]Inputs'!$O$627</f>
        <v>0</v>
      </c>
      <c r="AT59" s="83"/>
      <c r="AU59" s="152"/>
      <c r="AV59" s="153"/>
      <c r="AW59" s="154"/>
      <c r="AX59" s="152"/>
      <c r="AY59" s="136"/>
      <c r="AZ59" s="136"/>
      <c r="BA59" s="136"/>
      <c r="BB59" s="136"/>
      <c r="BC59" s="136"/>
      <c r="BD59" s="136"/>
      <c r="BE59" s="136"/>
      <c r="BF59" s="136"/>
      <c r="BG59" s="155"/>
    </row>
    <row r="60" spans="2:59" ht="15.75" hidden="1">
      <c r="B60" s="19" t="s">
        <v>92</v>
      </c>
      <c r="C60" s="20"/>
      <c r="D60" s="156"/>
      <c r="E60" s="135">
        <f t="shared" si="13"/>
        <v>0</v>
      </c>
      <c r="F60" s="136">
        <v>0</v>
      </c>
      <c r="G60" s="136"/>
      <c r="H60" s="136"/>
      <c r="I60" s="137"/>
      <c r="J60" s="138">
        <f t="shared" si="17"/>
        <v>0</v>
      </c>
      <c r="K60" s="139">
        <f t="shared" si="17"/>
        <v>0</v>
      </c>
      <c r="L60" s="140">
        <f t="shared" si="14"/>
        <v>0</v>
      </c>
      <c r="M60" s="267"/>
      <c r="N60" s="268"/>
      <c r="O60" s="268"/>
      <c r="P60" s="268"/>
      <c r="Q60" s="268"/>
      <c r="R60" s="269"/>
      <c r="S60" s="264">
        <f t="shared" si="15"/>
        <v>0</v>
      </c>
      <c r="T60" s="265">
        <f t="shared" si="15"/>
        <v>0</v>
      </c>
      <c r="U60" s="141">
        <f t="shared" si="15"/>
        <v>0</v>
      </c>
      <c r="V60" s="266">
        <f t="shared" si="15"/>
        <v>0</v>
      </c>
      <c r="W60" s="145">
        <f>'[1]Inputs'!$O556</f>
        <v>6</v>
      </c>
      <c r="Z60" s="146">
        <f t="shared" si="16"/>
        <v>0</v>
      </c>
      <c r="AA60" s="147">
        <f>'[1]Inputs'!$O552+'[1]Inputs'!$O554+'[1]Inputs'!$O553+'[1]Inputs'!$O555</f>
        <v>0</v>
      </c>
      <c r="AB60" s="148">
        <f>'[1]Inputs'!O557</f>
        <v>39763.581979166665</v>
      </c>
      <c r="AE60" s="149">
        <v>0</v>
      </c>
      <c r="AF60" s="83"/>
      <c r="AG60" s="150">
        <f>'[1]Inputs'!$O532</f>
        <v>0</v>
      </c>
      <c r="AH60" s="151">
        <f>'[1]Inputs'!$O541</f>
        <v>0</v>
      </c>
      <c r="AI60" s="140">
        <f>'[1]Inputs'!$O536</f>
        <v>0</v>
      </c>
      <c r="AJ60" s="150">
        <f>'[1]Inputs'!$O542</f>
        <v>0</v>
      </c>
      <c r="AK60" s="149">
        <f>'[1]Inputs'!$O$543</f>
        <v>0</v>
      </c>
      <c r="AL60" s="149">
        <f>'[1]Inputs'!$O$544</f>
        <v>0</v>
      </c>
      <c r="AM60" s="149">
        <f>'[1]Inputs'!$O$545</f>
        <v>0</v>
      </c>
      <c r="AN60" s="149">
        <f>'[1]Inputs'!$O$546</f>
        <v>0</v>
      </c>
      <c r="AO60" s="149">
        <f>'[1]Inputs'!$O$547</f>
        <v>0</v>
      </c>
      <c r="AP60" s="149">
        <f>'[1]Inputs'!$O$548</f>
        <v>0</v>
      </c>
      <c r="AQ60" s="149">
        <f>'[1]Inputs'!$O$549</f>
        <v>0</v>
      </c>
      <c r="AR60" s="149">
        <f>'[1]Inputs'!$O$550</f>
        <v>0</v>
      </c>
      <c r="AS60" s="140">
        <f>'[1]Inputs'!$O$551</f>
        <v>0</v>
      </c>
      <c r="AT60" s="83"/>
      <c r="AU60" s="152"/>
      <c r="AV60" s="153"/>
      <c r="AW60" s="154"/>
      <c r="AX60" s="152"/>
      <c r="AY60" s="136"/>
      <c r="AZ60" s="136"/>
      <c r="BA60" s="136"/>
      <c r="BB60" s="136"/>
      <c r="BC60" s="136"/>
      <c r="BD60" s="136"/>
      <c r="BE60" s="136"/>
      <c r="BF60" s="136"/>
      <c r="BG60" s="155"/>
    </row>
    <row r="61" spans="2:59" ht="15.75">
      <c r="B61" s="19" t="s">
        <v>104</v>
      </c>
      <c r="C61" s="20"/>
      <c r="D61" s="156"/>
      <c r="E61" s="135">
        <f t="shared" si="13"/>
        <v>0.09259259259259259</v>
      </c>
      <c r="F61" s="136">
        <v>0</v>
      </c>
      <c r="G61" s="136"/>
      <c r="H61" s="136"/>
      <c r="I61" s="137"/>
      <c r="J61" s="150">
        <v>25</v>
      </c>
      <c r="K61" s="273">
        <v>0.05</v>
      </c>
      <c r="L61" s="140">
        <f t="shared" si="14"/>
        <v>26.25</v>
      </c>
      <c r="M61" s="267"/>
      <c r="N61" s="268"/>
      <c r="O61" s="268"/>
      <c r="P61" s="268"/>
      <c r="Q61" s="268"/>
      <c r="R61" s="269"/>
      <c r="S61" s="246"/>
      <c r="T61" s="270"/>
      <c r="U61" s="268"/>
      <c r="V61" s="269"/>
      <c r="W61" s="245"/>
      <c r="Z61" s="146">
        <f t="shared" si="16"/>
        <v>0</v>
      </c>
      <c r="AA61" s="182"/>
      <c r="AB61" s="271"/>
      <c r="AE61" s="149">
        <v>0</v>
      </c>
      <c r="AF61" s="83"/>
      <c r="AG61" s="150">
        <f>'[1]Inputs'!$O533</f>
        <v>0</v>
      </c>
      <c r="AH61" s="151">
        <f>'[1]Inputs'!$O540</f>
        <v>0</v>
      </c>
      <c r="AI61" s="140">
        <f>'[1]Inputs'!$O537</f>
        <v>0</v>
      </c>
      <c r="AJ61" s="272"/>
      <c r="AK61" s="219"/>
      <c r="AL61" s="219"/>
      <c r="AM61" s="219"/>
      <c r="AN61" s="219"/>
      <c r="AO61" s="219"/>
      <c r="AP61" s="219"/>
      <c r="AQ61" s="219"/>
      <c r="AR61" s="219"/>
      <c r="AS61" s="242"/>
      <c r="AT61" s="83"/>
      <c r="AU61" s="152"/>
      <c r="AV61" s="153"/>
      <c r="AW61" s="154"/>
      <c r="AX61" s="272"/>
      <c r="AY61" s="219"/>
      <c r="AZ61" s="219"/>
      <c r="BA61" s="219"/>
      <c r="BB61" s="219"/>
      <c r="BC61" s="219"/>
      <c r="BD61" s="219"/>
      <c r="BE61" s="219"/>
      <c r="BF61" s="219"/>
      <c r="BG61" s="242"/>
    </row>
    <row r="62" spans="2:59" ht="15.75" hidden="1">
      <c r="B62" s="19" t="s">
        <v>105</v>
      </c>
      <c r="C62" s="20"/>
      <c r="D62" s="156"/>
      <c r="E62" s="135">
        <f t="shared" si="13"/>
        <v>0</v>
      </c>
      <c r="F62" s="136">
        <v>0</v>
      </c>
      <c r="G62" s="136"/>
      <c r="H62" s="136"/>
      <c r="I62" s="137"/>
      <c r="J62" s="150">
        <f aca="true" t="shared" si="18" ref="J62:K64">IF(AU62="",AG62,AU62)</f>
        <v>0</v>
      </c>
      <c r="K62" s="273">
        <f t="shared" si="18"/>
        <v>0</v>
      </c>
      <c r="L62" s="140">
        <f t="shared" si="14"/>
        <v>0</v>
      </c>
      <c r="M62" s="267"/>
      <c r="N62" s="268"/>
      <c r="O62" s="268"/>
      <c r="P62" s="268"/>
      <c r="Q62" s="268"/>
      <c r="R62" s="269"/>
      <c r="S62" s="246"/>
      <c r="T62" s="270"/>
      <c r="U62" s="268"/>
      <c r="V62" s="269"/>
      <c r="W62" s="145">
        <f>'[1]Inputs'!$O558</f>
        <v>7</v>
      </c>
      <c r="Z62" s="146">
        <f t="shared" si="16"/>
        <v>0</v>
      </c>
      <c r="AA62" s="182"/>
      <c r="AB62" s="148">
        <f>'[1]Inputs'!O557</f>
        <v>39763.581979166665</v>
      </c>
      <c r="AE62" s="149">
        <v>0</v>
      </c>
      <c r="AF62" s="83"/>
      <c r="AG62" s="150">
        <f>'[1]Inputs'!$O534</f>
        <v>0</v>
      </c>
      <c r="AH62" s="151">
        <f>'[1]Inputs'!$O539</f>
        <v>0</v>
      </c>
      <c r="AI62" s="140">
        <f>'[1]Inputs'!$O538</f>
        <v>0</v>
      </c>
      <c r="AJ62" s="272"/>
      <c r="AK62" s="219"/>
      <c r="AL62" s="219"/>
      <c r="AM62" s="219"/>
      <c r="AN62" s="219"/>
      <c r="AO62" s="219"/>
      <c r="AP62" s="219"/>
      <c r="AQ62" s="219"/>
      <c r="AR62" s="219"/>
      <c r="AS62" s="242"/>
      <c r="AT62" s="83"/>
      <c r="AU62" s="152"/>
      <c r="AV62" s="153"/>
      <c r="AW62" s="154"/>
      <c r="AX62" s="272"/>
      <c r="AY62" s="219"/>
      <c r="AZ62" s="219"/>
      <c r="BA62" s="219"/>
      <c r="BB62" s="219"/>
      <c r="BC62" s="219"/>
      <c r="BD62" s="219"/>
      <c r="BE62" s="219"/>
      <c r="BF62" s="219"/>
      <c r="BG62" s="242"/>
    </row>
    <row r="63" spans="2:59" ht="15.75" hidden="1">
      <c r="B63" s="19" t="s">
        <v>64</v>
      </c>
      <c r="C63" s="20"/>
      <c r="D63" s="156"/>
      <c r="E63" s="135">
        <f t="shared" si="13"/>
        <v>0</v>
      </c>
      <c r="F63" s="136">
        <v>0</v>
      </c>
      <c r="G63" s="136"/>
      <c r="H63" s="136"/>
      <c r="I63" s="137"/>
      <c r="J63" s="150">
        <f t="shared" si="18"/>
        <v>0</v>
      </c>
      <c r="K63" s="273">
        <f t="shared" si="18"/>
        <v>0</v>
      </c>
      <c r="L63" s="140">
        <f t="shared" si="14"/>
        <v>0</v>
      </c>
      <c r="M63" s="267"/>
      <c r="N63" s="268"/>
      <c r="O63" s="268"/>
      <c r="P63" s="268"/>
      <c r="Q63" s="268"/>
      <c r="R63" s="269"/>
      <c r="S63" s="264">
        <f aca="true" t="shared" si="19" ref="S63:V65">IF(BD63="",AP63,BD63)</f>
        <v>0</v>
      </c>
      <c r="T63" s="265">
        <f t="shared" si="19"/>
        <v>0</v>
      </c>
      <c r="U63" s="141">
        <f t="shared" si="19"/>
        <v>0</v>
      </c>
      <c r="V63" s="266">
        <f t="shared" si="19"/>
        <v>0</v>
      </c>
      <c r="W63" s="145">
        <f>'[1]Inputs'!$O668</f>
        <v>0</v>
      </c>
      <c r="Z63" s="146">
        <f t="shared" si="16"/>
        <v>0</v>
      </c>
      <c r="AA63" s="274">
        <f>'[1]Inputs'!$O656+'[1]Inputs'!$O657</f>
        <v>0</v>
      </c>
      <c r="AB63" s="148">
        <f>'[1]Inputs'!O669</f>
        <v>39629.4923688657</v>
      </c>
      <c r="AE63" s="149">
        <v>0</v>
      </c>
      <c r="AF63" s="83"/>
      <c r="AG63" s="150">
        <f>'[1]Inputs'!$O653</f>
        <v>0</v>
      </c>
      <c r="AH63" s="151">
        <f>'[1]Inputs'!$O655</f>
        <v>0</v>
      </c>
      <c r="AI63" s="140">
        <f>'[1]Inputs'!$O654</f>
        <v>0</v>
      </c>
      <c r="AJ63" s="150">
        <f>'[1]Inputs'!$O658</f>
        <v>0</v>
      </c>
      <c r="AK63" s="149">
        <f>'[1]Inputs'!$O$659</f>
        <v>0</v>
      </c>
      <c r="AL63" s="149">
        <f>'[1]Inputs'!$O$660</f>
        <v>0</v>
      </c>
      <c r="AM63" s="149">
        <f>'[1]Inputs'!$O$661</f>
        <v>0</v>
      </c>
      <c r="AN63" s="149">
        <f>'[1]Inputs'!$O$662</f>
        <v>0</v>
      </c>
      <c r="AO63" s="149">
        <f>'[1]Inputs'!$O$663</f>
        <v>0</v>
      </c>
      <c r="AP63" s="149">
        <f>'[1]Inputs'!$O$664</f>
        <v>0</v>
      </c>
      <c r="AQ63" s="149">
        <f>'[1]Inputs'!$O$665</f>
        <v>0</v>
      </c>
      <c r="AR63" s="149">
        <f>'[1]Inputs'!$O$666</f>
        <v>0</v>
      </c>
      <c r="AS63" s="140">
        <f>'[1]Inputs'!$O$667</f>
        <v>0</v>
      </c>
      <c r="AT63" s="83"/>
      <c r="AU63" s="152"/>
      <c r="AV63" s="153"/>
      <c r="AW63" s="154"/>
      <c r="AX63" s="152"/>
      <c r="AY63" s="136"/>
      <c r="AZ63" s="136"/>
      <c r="BA63" s="136"/>
      <c r="BB63" s="136"/>
      <c r="BC63" s="136"/>
      <c r="BD63" s="136"/>
      <c r="BE63" s="136"/>
      <c r="BF63" s="136"/>
      <c r="BG63" s="155"/>
    </row>
    <row r="64" spans="2:59" ht="15.75" hidden="1">
      <c r="B64" s="19" t="s">
        <v>93</v>
      </c>
      <c r="C64" s="20"/>
      <c r="D64" s="156"/>
      <c r="E64" s="135">
        <f t="shared" si="13"/>
        <v>0</v>
      </c>
      <c r="F64" s="136">
        <v>0</v>
      </c>
      <c r="G64" s="136"/>
      <c r="H64" s="136"/>
      <c r="I64" s="137"/>
      <c r="J64" s="150">
        <f t="shared" si="18"/>
        <v>0</v>
      </c>
      <c r="K64" s="273">
        <f t="shared" si="18"/>
        <v>0</v>
      </c>
      <c r="L64" s="140">
        <f t="shared" si="14"/>
        <v>0</v>
      </c>
      <c r="M64" s="267"/>
      <c r="N64" s="268"/>
      <c r="O64" s="268"/>
      <c r="P64" s="268"/>
      <c r="Q64" s="268"/>
      <c r="R64" s="269"/>
      <c r="S64" s="264">
        <f t="shared" si="19"/>
        <v>0</v>
      </c>
      <c r="T64" s="265">
        <f t="shared" si="19"/>
        <v>0</v>
      </c>
      <c r="U64" s="141">
        <f t="shared" si="19"/>
        <v>0</v>
      </c>
      <c r="V64" s="266">
        <f t="shared" si="19"/>
        <v>0</v>
      </c>
      <c r="W64" s="145">
        <f>'[1]Inputs'!$O697</f>
        <v>0</v>
      </c>
      <c r="Z64" s="146">
        <f t="shared" si="16"/>
        <v>0</v>
      </c>
      <c r="AA64" s="147">
        <f>'[1]Inputs'!$O695+'[1]Inputs'!$O696</f>
        <v>0</v>
      </c>
      <c r="AB64" s="148">
        <f>'[1]Inputs'!O698</f>
        <v>39763.5837962963</v>
      </c>
      <c r="AE64" s="149">
        <v>0</v>
      </c>
      <c r="AF64" s="83"/>
      <c r="AG64" s="150">
        <f>'[1]Inputs'!$O682</f>
        <v>0</v>
      </c>
      <c r="AH64" s="151">
        <f>'[1]Inputs'!$O684</f>
        <v>0</v>
      </c>
      <c r="AI64" s="140">
        <f>'[1]Inputs'!$O683</f>
        <v>0</v>
      </c>
      <c r="AJ64" s="150">
        <f>'[1]Inputs'!$O685</f>
        <v>0</v>
      </c>
      <c r="AK64" s="149">
        <f>'[1]Inputs'!$O$686</f>
        <v>0</v>
      </c>
      <c r="AL64" s="149">
        <f>'[1]Inputs'!$O$687</f>
        <v>0</v>
      </c>
      <c r="AM64" s="149">
        <f>'[1]Inputs'!$O$688</f>
        <v>0</v>
      </c>
      <c r="AN64" s="149">
        <f>'[1]Inputs'!$O$689</f>
        <v>0</v>
      </c>
      <c r="AO64" s="149">
        <f>'[1]Inputs'!$O$690</f>
        <v>0</v>
      </c>
      <c r="AP64" s="149">
        <f>'[1]Inputs'!$O$691</f>
        <v>0</v>
      </c>
      <c r="AQ64" s="149">
        <f>'[1]Inputs'!$O$692</f>
        <v>0</v>
      </c>
      <c r="AR64" s="149">
        <f>'[1]Inputs'!$O$693</f>
        <v>0</v>
      </c>
      <c r="AS64" s="140">
        <f>'[1]Inputs'!$O$694</f>
        <v>0</v>
      </c>
      <c r="AT64" s="83"/>
      <c r="AU64" s="152"/>
      <c r="AV64" s="153"/>
      <c r="AW64" s="154"/>
      <c r="AX64" s="152"/>
      <c r="AY64" s="136"/>
      <c r="AZ64" s="136"/>
      <c r="BA64" s="136"/>
      <c r="BB64" s="136"/>
      <c r="BC64" s="136"/>
      <c r="BD64" s="136"/>
      <c r="BE64" s="136"/>
      <c r="BF64" s="136"/>
      <c r="BG64" s="155"/>
    </row>
    <row r="65" spans="2:59" s="24" customFormat="1" ht="15.75">
      <c r="B65" s="251" t="s">
        <v>106</v>
      </c>
      <c r="C65" s="20"/>
      <c r="D65" s="156"/>
      <c r="E65" s="275"/>
      <c r="F65" s="172">
        <f>SUM(F54:F64)</f>
        <v>0</v>
      </c>
      <c r="G65" s="172">
        <f>SUM(G54:G64)</f>
        <v>0</v>
      </c>
      <c r="H65" s="172">
        <f>SUM(H54:H64)</f>
        <v>0</v>
      </c>
      <c r="I65" s="173">
        <f>SUM(I54:I64)</f>
        <v>0</v>
      </c>
      <c r="J65" s="276">
        <f>IF(AU65="",AG65,AU65)</f>
        <v>225</v>
      </c>
      <c r="K65" s="203">
        <f>IF(J65&gt;0,(L65-J65)/J65,0)</f>
        <v>0.2722222222222222</v>
      </c>
      <c r="L65" s="237">
        <f>IF(AW65="",AI65,AW65)</f>
        <v>286.25</v>
      </c>
      <c r="M65" s="267"/>
      <c r="N65" s="268"/>
      <c r="O65" s="268"/>
      <c r="P65" s="268"/>
      <c r="Q65" s="268"/>
      <c r="R65" s="269"/>
      <c r="S65" s="280">
        <f t="shared" si="19"/>
        <v>0</v>
      </c>
      <c r="T65" s="281">
        <f t="shared" si="19"/>
        <v>0</v>
      </c>
      <c r="U65" s="278">
        <f t="shared" si="19"/>
        <v>0</v>
      </c>
      <c r="V65" s="279">
        <f t="shared" si="19"/>
        <v>0</v>
      </c>
      <c r="W65" s="181"/>
      <c r="X65"/>
      <c r="Y65"/>
      <c r="Z65" s="146">
        <f t="shared" si="16"/>
        <v>0</v>
      </c>
      <c r="AA65" s="282">
        <f>SUM(AA54:AA64)</f>
        <v>0</v>
      </c>
      <c r="AB65" s="283"/>
      <c r="AC65" s="1"/>
      <c r="AD65" s="1"/>
      <c r="AE65" s="172">
        <v>0</v>
      </c>
      <c r="AF65" s="83"/>
      <c r="AG65" s="276">
        <f>SUM(J54:J64)</f>
        <v>225</v>
      </c>
      <c r="AH65" s="203">
        <f>IF(AG65&gt;0,(AI65-AG65)/AG65,0)</f>
        <v>0.2722222222222222</v>
      </c>
      <c r="AI65" s="237">
        <f aca="true" t="shared" si="20" ref="AI65:AS65">SUM(L54:L64)</f>
        <v>286.25</v>
      </c>
      <c r="AJ65" s="276">
        <f t="shared" si="20"/>
        <v>0</v>
      </c>
      <c r="AK65" s="172">
        <f t="shared" si="20"/>
        <v>0</v>
      </c>
      <c r="AL65" s="172">
        <f t="shared" si="20"/>
        <v>0</v>
      </c>
      <c r="AM65" s="172">
        <f t="shared" si="20"/>
        <v>0</v>
      </c>
      <c r="AN65" s="172">
        <f t="shared" si="20"/>
        <v>0</v>
      </c>
      <c r="AO65" s="172">
        <f t="shared" si="20"/>
        <v>0</v>
      </c>
      <c r="AP65" s="172">
        <f t="shared" si="20"/>
        <v>0</v>
      </c>
      <c r="AQ65" s="172">
        <f t="shared" si="20"/>
        <v>0</v>
      </c>
      <c r="AR65" s="172">
        <f t="shared" si="20"/>
        <v>0</v>
      </c>
      <c r="AS65" s="237">
        <f t="shared" si="20"/>
        <v>0</v>
      </c>
      <c r="AT65" s="170"/>
      <c r="AU65" s="284"/>
      <c r="AV65" s="285"/>
      <c r="AW65" s="286"/>
      <c r="AX65" s="284"/>
      <c r="AY65" s="287"/>
      <c r="AZ65" s="287"/>
      <c r="BA65" s="287"/>
      <c r="BB65" s="287"/>
      <c r="BC65" s="287"/>
      <c r="BD65" s="287"/>
      <c r="BE65" s="287"/>
      <c r="BF65" s="287"/>
      <c r="BG65" s="286"/>
    </row>
    <row r="66" spans="2:59" ht="15.75">
      <c r="B66" s="288" t="s">
        <v>107</v>
      </c>
      <c r="C66" s="20"/>
      <c r="D66" s="156"/>
      <c r="E66" s="275"/>
      <c r="F66" s="289"/>
      <c r="G66" s="289"/>
      <c r="H66" s="289"/>
      <c r="I66" s="290"/>
      <c r="J66" s="291"/>
      <c r="K66" s="292"/>
      <c r="L66" s="293">
        <f>L65</f>
        <v>286.25</v>
      </c>
      <c r="M66" s="294"/>
      <c r="N66" s="295"/>
      <c r="O66" s="295"/>
      <c r="P66" s="295"/>
      <c r="Q66" s="295"/>
      <c r="R66" s="296"/>
      <c r="S66" s="297"/>
      <c r="T66" s="298"/>
      <c r="U66" s="295"/>
      <c r="V66" s="296"/>
      <c r="W66" s="20"/>
      <c r="Z66" s="146">
        <f t="shared" si="16"/>
        <v>0</v>
      </c>
      <c r="AA66" s="299"/>
      <c r="AB66" s="300"/>
      <c r="AC66" s="24"/>
      <c r="AD66" s="24"/>
      <c r="AE66" s="292"/>
      <c r="AF66" s="83"/>
      <c r="AG66" s="301"/>
      <c r="AH66" s="289"/>
      <c r="AI66" s="302"/>
      <c r="AJ66" s="291"/>
      <c r="AK66" s="292"/>
      <c r="AL66" s="292"/>
      <c r="AM66" s="292"/>
      <c r="AN66" s="292"/>
      <c r="AO66" s="292"/>
      <c r="AP66" s="292"/>
      <c r="AQ66" s="292"/>
      <c r="AR66" s="292"/>
      <c r="AS66" s="300"/>
      <c r="AT66" s="170"/>
      <c r="AU66" s="301"/>
      <c r="AV66" s="289"/>
      <c r="AW66" s="302"/>
      <c r="AX66" s="301"/>
      <c r="AY66" s="289"/>
      <c r="AZ66" s="289"/>
      <c r="BA66" s="289"/>
      <c r="BB66" s="289"/>
      <c r="BC66" s="289"/>
      <c r="BD66" s="289"/>
      <c r="BE66" s="289"/>
      <c r="BF66" s="289"/>
      <c r="BG66" s="302"/>
    </row>
    <row r="67" spans="2:59" ht="15.75">
      <c r="B67" s="171" t="s">
        <v>95</v>
      </c>
      <c r="C67" s="303"/>
      <c r="D67" s="304"/>
      <c r="E67" s="305"/>
      <c r="F67" s="172">
        <f>F36+F65+F28</f>
        <v>0</v>
      </c>
      <c r="G67" s="172">
        <f>G36+G65+G28</f>
        <v>0</v>
      </c>
      <c r="H67" s="172">
        <f>H36+H65+H28</f>
        <v>0</v>
      </c>
      <c r="I67" s="172">
        <f>I36+I65+I28</f>
        <v>0</v>
      </c>
      <c r="J67" s="276">
        <f>IF(AU67="",AG67,AU67)</f>
        <v>270</v>
      </c>
      <c r="K67" s="203">
        <f>IF(J67&gt;0,(L67-J67)/J67,0)</f>
        <v>0.2881481481481482</v>
      </c>
      <c r="L67" s="237">
        <f aca="true" t="shared" si="21" ref="L67:V67">IF(AW67="",AI67,AW67)</f>
        <v>347.8</v>
      </c>
      <c r="M67" s="277">
        <f t="shared" si="21"/>
        <v>0</v>
      </c>
      <c r="N67" s="278">
        <f t="shared" si="21"/>
        <v>45</v>
      </c>
      <c r="O67" s="278">
        <f t="shared" si="21"/>
        <v>0</v>
      </c>
      <c r="P67" s="278">
        <f t="shared" si="21"/>
        <v>0</v>
      </c>
      <c r="Q67" s="278">
        <f t="shared" si="21"/>
        <v>0</v>
      </c>
      <c r="R67" s="279">
        <f t="shared" si="21"/>
        <v>0</v>
      </c>
      <c r="S67" s="280">
        <f t="shared" si="21"/>
        <v>0</v>
      </c>
      <c r="T67" s="281">
        <f t="shared" si="21"/>
        <v>0</v>
      </c>
      <c r="U67" s="278">
        <f t="shared" si="21"/>
        <v>0</v>
      </c>
      <c r="V67" s="279">
        <f t="shared" si="21"/>
        <v>0</v>
      </c>
      <c r="W67" s="20"/>
      <c r="Z67" s="146">
        <f t="shared" si="16"/>
        <v>0</v>
      </c>
      <c r="AA67" s="299"/>
      <c r="AB67" s="300"/>
      <c r="AE67" s="172">
        <v>0</v>
      </c>
      <c r="AF67" s="83"/>
      <c r="AG67" s="276">
        <f>J36+J65+J28</f>
        <v>270</v>
      </c>
      <c r="AH67" s="203">
        <f>IF(AG67&gt;0,(AI67-AG67)/AG67,0)</f>
        <v>0.2881481481481482</v>
      </c>
      <c r="AI67" s="306">
        <f>L65+L36+L28</f>
        <v>347.8</v>
      </c>
      <c r="AJ67" s="276">
        <f aca="true" t="shared" si="22" ref="AJ67:AS67">M36+M65+M28</f>
        <v>0</v>
      </c>
      <c r="AK67" s="172">
        <f t="shared" si="22"/>
        <v>45</v>
      </c>
      <c r="AL67" s="172">
        <f t="shared" si="22"/>
        <v>0</v>
      </c>
      <c r="AM67" s="172">
        <f t="shared" si="22"/>
        <v>0</v>
      </c>
      <c r="AN67" s="172">
        <f t="shared" si="22"/>
        <v>0</v>
      </c>
      <c r="AO67" s="172">
        <f t="shared" si="22"/>
        <v>0</v>
      </c>
      <c r="AP67" s="172">
        <f t="shared" si="22"/>
        <v>0</v>
      </c>
      <c r="AQ67" s="172">
        <f t="shared" si="22"/>
        <v>0</v>
      </c>
      <c r="AR67" s="172">
        <f t="shared" si="22"/>
        <v>0</v>
      </c>
      <c r="AS67" s="237">
        <f t="shared" si="22"/>
        <v>0</v>
      </c>
      <c r="AT67" s="170"/>
      <c r="AU67" s="152"/>
      <c r="AV67" s="307"/>
      <c r="AW67" s="308"/>
      <c r="AX67" s="152"/>
      <c r="AY67" s="136"/>
      <c r="AZ67" s="136"/>
      <c r="BA67" s="136"/>
      <c r="BB67" s="136"/>
      <c r="BC67" s="136"/>
      <c r="BD67" s="136"/>
      <c r="BE67" s="136"/>
      <c r="BF67" s="136"/>
      <c r="BG67" s="155"/>
    </row>
    <row r="68" spans="2:59" s="24" customFormat="1" ht="15.75">
      <c r="B68" s="19" t="s">
        <v>108</v>
      </c>
      <c r="C68" s="20"/>
      <c r="D68" s="309"/>
      <c r="E68" s="310"/>
      <c r="F68" s="172">
        <f>F36*N90+F65*N95</f>
        <v>0</v>
      </c>
      <c r="G68" s="172">
        <f>G36*P90+G65*P95</f>
        <v>0</v>
      </c>
      <c r="H68" s="172">
        <f>H36*P90+H65*P95</f>
        <v>0</v>
      </c>
      <c r="I68" s="173">
        <f>I36*W75+I65*W80</f>
        <v>0</v>
      </c>
      <c r="J68" s="276">
        <f>IF(AU68="",AG68,AU68)</f>
        <v>77.80000000000001</v>
      </c>
      <c r="K68" s="135">
        <f>K67</f>
        <v>0.2881481481481482</v>
      </c>
      <c r="L68" s="311">
        <f>IF(J67-J36&lt;=0,0,J68/(J67-J36))</f>
        <v>0.2881481481481482</v>
      </c>
      <c r="M68" s="294"/>
      <c r="N68" s="295"/>
      <c r="O68" s="295"/>
      <c r="P68" s="295"/>
      <c r="Q68" s="295"/>
      <c r="R68" s="296"/>
      <c r="S68" s="297"/>
      <c r="T68" s="298"/>
      <c r="U68" s="295"/>
      <c r="V68" s="296"/>
      <c r="W68" s="20"/>
      <c r="X68"/>
      <c r="Y68"/>
      <c r="Z68" s="146">
        <f t="shared" si="16"/>
        <v>0</v>
      </c>
      <c r="AA68" s="299"/>
      <c r="AB68" s="300"/>
      <c r="AC68" s="1"/>
      <c r="AD68" s="1"/>
      <c r="AE68" s="172">
        <v>0</v>
      </c>
      <c r="AF68" s="83"/>
      <c r="AG68" s="276">
        <f>L67-J67</f>
        <v>77.80000000000001</v>
      </c>
      <c r="AH68" s="312"/>
      <c r="AI68" s="313"/>
      <c r="AJ68" s="291"/>
      <c r="AK68" s="292"/>
      <c r="AL68" s="292"/>
      <c r="AM68" s="292"/>
      <c r="AN68" s="292"/>
      <c r="AO68" s="292"/>
      <c r="AP68" s="292"/>
      <c r="AQ68" s="292"/>
      <c r="AR68" s="292"/>
      <c r="AS68" s="300"/>
      <c r="AT68" s="170"/>
      <c r="AU68" s="152"/>
      <c r="AV68" s="314"/>
      <c r="AW68" s="313"/>
      <c r="AX68" s="301"/>
      <c r="AY68" s="289"/>
      <c r="AZ68" s="289"/>
      <c r="BA68" s="289"/>
      <c r="BB68" s="289"/>
      <c r="BC68" s="289"/>
      <c r="BD68" s="289"/>
      <c r="BE68" s="289"/>
      <c r="BF68" s="289"/>
      <c r="BG68" s="302"/>
    </row>
    <row r="69" spans="2:59" ht="15.75">
      <c r="B69" s="19" t="s">
        <v>109</v>
      </c>
      <c r="C69" s="20"/>
      <c r="D69" s="309"/>
      <c r="E69" s="310"/>
      <c r="F69" s="169"/>
      <c r="G69" s="169"/>
      <c r="H69" s="169"/>
      <c r="I69" s="315"/>
      <c r="J69" s="276">
        <f>IF(AU69="",AG69,AU69)</f>
        <v>38.3</v>
      </c>
      <c r="K69" s="316">
        <f>IF(J67&lt;=0,0,J69/J67)</f>
        <v>0.14185185185185184</v>
      </c>
      <c r="L69" s="317">
        <f>IF(J67-J36&lt;=0,0,J69/(J67-J36))</f>
        <v>0.14185185185185184</v>
      </c>
      <c r="M69" s="277">
        <f aca="true" t="shared" si="23" ref="M69:V70">IF(AX69="",AJ69,AX69)</f>
        <v>0</v>
      </c>
      <c r="N69" s="278">
        <f t="shared" si="23"/>
        <v>19.35</v>
      </c>
      <c r="O69" s="278">
        <f t="shared" si="23"/>
        <v>0</v>
      </c>
      <c r="P69" s="278">
        <f t="shared" si="23"/>
        <v>0</v>
      </c>
      <c r="Q69" s="278">
        <f t="shared" si="23"/>
        <v>0</v>
      </c>
      <c r="R69" s="279">
        <f t="shared" si="23"/>
        <v>0</v>
      </c>
      <c r="S69" s="280">
        <f t="shared" si="23"/>
        <v>0</v>
      </c>
      <c r="T69" s="281">
        <f t="shared" si="23"/>
        <v>0</v>
      </c>
      <c r="U69" s="278">
        <f t="shared" si="23"/>
        <v>0</v>
      </c>
      <c r="V69" s="279">
        <f t="shared" si="23"/>
        <v>0</v>
      </c>
      <c r="W69" s="20"/>
      <c r="Z69" s="146">
        <f t="shared" si="16"/>
        <v>0</v>
      </c>
      <c r="AA69" s="299"/>
      <c r="AB69" s="300"/>
      <c r="AC69" s="24"/>
      <c r="AD69" s="24"/>
      <c r="AE69" s="172">
        <v>0</v>
      </c>
      <c r="AF69" s="83"/>
      <c r="AG69" s="276">
        <f>IF($N$94="Apply Total System-Level",AH85,AI85)</f>
        <v>38.3</v>
      </c>
      <c r="AH69" s="318"/>
      <c r="AI69" s="319"/>
      <c r="AJ69" s="276">
        <f aca="true" t="shared" si="24" ref="AJ69:AS69">$P$90*M$21+$P$91*(M$28-M$21)+$P$92*M$36+$P$95*M$65</f>
        <v>0</v>
      </c>
      <c r="AK69" s="172">
        <f t="shared" si="24"/>
        <v>19.35</v>
      </c>
      <c r="AL69" s="172">
        <f t="shared" si="24"/>
        <v>0</v>
      </c>
      <c r="AM69" s="172">
        <f t="shared" si="24"/>
        <v>0</v>
      </c>
      <c r="AN69" s="172">
        <f t="shared" si="24"/>
        <v>0</v>
      </c>
      <c r="AO69" s="172">
        <f t="shared" si="24"/>
        <v>0</v>
      </c>
      <c r="AP69" s="172">
        <f t="shared" si="24"/>
        <v>0</v>
      </c>
      <c r="AQ69" s="172">
        <f t="shared" si="24"/>
        <v>0</v>
      </c>
      <c r="AR69" s="172">
        <f t="shared" si="24"/>
        <v>0</v>
      </c>
      <c r="AS69" s="237">
        <f t="shared" si="24"/>
        <v>0</v>
      </c>
      <c r="AT69" s="170"/>
      <c r="AU69" s="152"/>
      <c r="AV69" s="259"/>
      <c r="AW69" s="319"/>
      <c r="AX69" s="152"/>
      <c r="AY69" s="136"/>
      <c r="AZ69" s="136"/>
      <c r="BA69" s="136"/>
      <c r="BB69" s="136"/>
      <c r="BC69" s="136"/>
      <c r="BD69" s="136"/>
      <c r="BE69" s="136"/>
      <c r="BF69" s="136"/>
      <c r="BG69" s="155"/>
    </row>
    <row r="70" spans="2:59" s="24" customFormat="1" ht="16.5" thickBot="1">
      <c r="B70" s="171" t="s">
        <v>110</v>
      </c>
      <c r="C70" s="20"/>
      <c r="D70" s="156"/>
      <c r="E70" s="275"/>
      <c r="F70" s="320">
        <f>F67+F68</f>
        <v>0</v>
      </c>
      <c r="G70" s="320">
        <f>G67+G68</f>
        <v>0</v>
      </c>
      <c r="H70" s="320">
        <f>H67+H68</f>
        <v>0</v>
      </c>
      <c r="I70" s="321">
        <f>I67+I68</f>
        <v>0</v>
      </c>
      <c r="J70" s="177">
        <f>IF(AU70="",AG70,AU70)</f>
        <v>386.1</v>
      </c>
      <c r="K70" s="322" t="s">
        <v>111</v>
      </c>
      <c r="L70" s="323" t="s">
        <v>112</v>
      </c>
      <c r="M70" s="177">
        <f t="shared" si="23"/>
        <v>0</v>
      </c>
      <c r="N70" s="178">
        <f t="shared" si="23"/>
        <v>64.35</v>
      </c>
      <c r="O70" s="178">
        <f t="shared" si="23"/>
        <v>0</v>
      </c>
      <c r="P70" s="178">
        <f t="shared" si="23"/>
        <v>0</v>
      </c>
      <c r="Q70" s="178">
        <f t="shared" si="23"/>
        <v>0</v>
      </c>
      <c r="R70" s="179">
        <f t="shared" si="23"/>
        <v>0</v>
      </c>
      <c r="S70" s="324">
        <f t="shared" si="23"/>
        <v>0</v>
      </c>
      <c r="T70" s="180">
        <f t="shared" si="23"/>
        <v>0</v>
      </c>
      <c r="U70" s="178">
        <f t="shared" si="23"/>
        <v>0</v>
      </c>
      <c r="V70" s="179">
        <f t="shared" si="23"/>
        <v>0</v>
      </c>
      <c r="W70" s="20"/>
      <c r="X70"/>
      <c r="Y70"/>
      <c r="Z70" s="146">
        <f t="shared" si="16"/>
        <v>0</v>
      </c>
      <c r="AA70" s="299"/>
      <c r="AB70" s="300"/>
      <c r="AC70" s="1"/>
      <c r="AD70" s="1"/>
      <c r="AE70" s="206">
        <v>0</v>
      </c>
      <c r="AF70" s="83"/>
      <c r="AG70" s="177">
        <f>J67+J68+J69</f>
        <v>386.1</v>
      </c>
      <c r="AH70" s="325"/>
      <c r="AI70" s="326"/>
      <c r="AJ70" s="174">
        <f aca="true" t="shared" si="25" ref="AJ70:AS70">M67+M69</f>
        <v>0</v>
      </c>
      <c r="AK70" s="327">
        <f t="shared" si="25"/>
        <v>64.35</v>
      </c>
      <c r="AL70" s="327">
        <f t="shared" si="25"/>
        <v>0</v>
      </c>
      <c r="AM70" s="320">
        <f t="shared" si="25"/>
        <v>0</v>
      </c>
      <c r="AN70" s="327">
        <f t="shared" si="25"/>
        <v>0</v>
      </c>
      <c r="AO70" s="327">
        <f t="shared" si="25"/>
        <v>0</v>
      </c>
      <c r="AP70" s="327">
        <f t="shared" si="25"/>
        <v>0</v>
      </c>
      <c r="AQ70" s="327">
        <f t="shared" si="25"/>
        <v>0</v>
      </c>
      <c r="AR70" s="327">
        <f t="shared" si="25"/>
        <v>0</v>
      </c>
      <c r="AS70" s="176">
        <f t="shared" si="25"/>
        <v>0</v>
      </c>
      <c r="AT70" s="170"/>
      <c r="AU70" s="328"/>
      <c r="AV70" s="329"/>
      <c r="AW70" s="326"/>
      <c r="AX70" s="330"/>
      <c r="AY70" s="331"/>
      <c r="AZ70" s="331"/>
      <c r="BA70" s="332"/>
      <c r="BB70" s="331"/>
      <c r="BC70" s="331"/>
      <c r="BD70" s="331"/>
      <c r="BE70" s="331"/>
      <c r="BF70" s="331"/>
      <c r="BG70" s="333"/>
    </row>
    <row r="71" spans="2:59" ht="15.75">
      <c r="B71" s="19" t="s">
        <v>113</v>
      </c>
      <c r="C71" s="20"/>
      <c r="D71" s="156"/>
      <c r="E71" s="135">
        <f>IF($J$74&gt;0,J71/$J$74,0)</f>
        <v>0.03739715781600598</v>
      </c>
      <c r="F71" s="136">
        <v>0</v>
      </c>
      <c r="G71" s="136">
        <v>0</v>
      </c>
      <c r="H71" s="136">
        <v>0</v>
      </c>
      <c r="I71" s="137">
        <v>0</v>
      </c>
      <c r="J71" s="334">
        <v>15</v>
      </c>
      <c r="K71" s="335"/>
      <c r="L71" s="336"/>
      <c r="M71" s="720"/>
      <c r="N71" s="337"/>
      <c r="O71" s="336"/>
      <c r="P71" s="720"/>
      <c r="Q71" s="337"/>
      <c r="R71" s="338"/>
      <c r="S71" s="339" t="s">
        <v>116</v>
      </c>
      <c r="T71" s="340">
        <f>'[1]Inputs'!O589</f>
        <v>0</v>
      </c>
      <c r="U71" s="20" t="s">
        <v>117</v>
      </c>
      <c r="V71" s="73"/>
      <c r="W71" s="20"/>
      <c r="Z71" s="146">
        <f t="shared" si="16"/>
        <v>0</v>
      </c>
      <c r="AA71" s="299"/>
      <c r="AB71" s="341">
        <f>'[1]Inputs'!O628</f>
        <v>0</v>
      </c>
      <c r="AD71" s="24"/>
      <c r="AE71" s="149">
        <v>0</v>
      </c>
      <c r="AG71" s="149">
        <f>'[1]Inputs'!$O580+'[1]Inputs'!$O583+'[1]Inputs'!$O586</f>
        <v>0</v>
      </c>
      <c r="AH71" s="20"/>
      <c r="AI71" s="342"/>
      <c r="AJ71" s="343">
        <f>'[1]Inputs'!$O577</f>
        <v>0</v>
      </c>
      <c r="AK71" s="20"/>
      <c r="AL71" s="342"/>
      <c r="AM71" s="144">
        <f>'[1]Inputs'!$O574</f>
        <v>0</v>
      </c>
      <c r="AN71" s="20"/>
      <c r="AO71" s="344"/>
      <c r="AP71" s="345"/>
      <c r="AQ71" s="346"/>
      <c r="AR71" s="344"/>
      <c r="AS71" s="20"/>
      <c r="AT71" s="83"/>
      <c r="AU71" s="136"/>
      <c r="AV71" s="20"/>
      <c r="AW71" s="342"/>
      <c r="AX71" s="347"/>
      <c r="AY71" s="20"/>
      <c r="AZ71" s="342"/>
      <c r="BA71" s="348"/>
      <c r="BB71" s="20"/>
      <c r="BC71" s="344"/>
      <c r="BD71" s="345"/>
      <c r="BE71" s="349"/>
      <c r="BF71" s="344"/>
      <c r="BG71" s="20"/>
    </row>
    <row r="72" spans="2:59" ht="15.75" hidden="1">
      <c r="B72" s="19" t="s">
        <v>118</v>
      </c>
      <c r="C72" s="20"/>
      <c r="D72" s="156"/>
      <c r="E72" s="135">
        <f>IF($J$74&gt;0,J72/$J$74,0)</f>
        <v>0</v>
      </c>
      <c r="F72" s="136">
        <v>0</v>
      </c>
      <c r="G72" s="136">
        <v>0</v>
      </c>
      <c r="H72" s="136">
        <v>0</v>
      </c>
      <c r="I72" s="137">
        <v>0</v>
      </c>
      <c r="J72" s="350">
        <f>IF(AU72="",AG72,AU72)</f>
        <v>0</v>
      </c>
      <c r="K72" s="19"/>
      <c r="L72" s="342" t="s">
        <v>114</v>
      </c>
      <c r="M72" s="149">
        <f>IF(AX72="",AJ72,AX72)</f>
        <v>0</v>
      </c>
      <c r="N72" s="20"/>
      <c r="O72" s="342" t="s">
        <v>119</v>
      </c>
      <c r="P72" s="149">
        <f>IF(BA72="",AM72,BA72)</f>
        <v>0</v>
      </c>
      <c r="Q72" s="20" t="s">
        <v>115</v>
      </c>
      <c r="R72" s="351"/>
      <c r="S72" s="339" t="s">
        <v>116</v>
      </c>
      <c r="T72" s="352">
        <f>'[1]Inputs'!O590</f>
        <v>0</v>
      </c>
      <c r="U72" s="20" t="s">
        <v>117</v>
      </c>
      <c r="V72" s="73"/>
      <c r="W72" s="20"/>
      <c r="Z72" s="146">
        <f t="shared" si="16"/>
        <v>0</v>
      </c>
      <c r="AA72" s="353"/>
      <c r="AB72" s="300" t="s">
        <v>120</v>
      </c>
      <c r="AE72" s="149">
        <v>0</v>
      </c>
      <c r="AG72" s="149">
        <f>'[1]Inputs'!$O581+'[1]Inputs'!$O584+'[1]Inputs'!$O587</f>
        <v>0</v>
      </c>
      <c r="AH72" s="20"/>
      <c r="AI72" s="342"/>
      <c r="AJ72" s="354">
        <f>'[1]Inputs'!$O578</f>
        <v>0</v>
      </c>
      <c r="AK72" s="20"/>
      <c r="AL72" s="342"/>
      <c r="AM72" s="141">
        <f>'[1]Inputs'!$O575</f>
        <v>0</v>
      </c>
      <c r="AN72" s="20"/>
      <c r="AO72" s="344"/>
      <c r="AP72" s="345"/>
      <c r="AQ72" s="355"/>
      <c r="AR72" s="344"/>
      <c r="AS72" s="20"/>
      <c r="AT72" s="83"/>
      <c r="AU72" s="136"/>
      <c r="AV72" s="20"/>
      <c r="AW72" s="342"/>
      <c r="AX72" s="356"/>
      <c r="AY72" s="20"/>
      <c r="AZ72" s="342"/>
      <c r="BA72" s="162"/>
      <c r="BB72" s="20"/>
      <c r="BC72" s="344"/>
      <c r="BD72" s="345"/>
      <c r="BE72" s="357"/>
      <c r="BF72" s="344"/>
      <c r="BG72" s="20"/>
    </row>
    <row r="73" spans="2:59" ht="15.75" hidden="1">
      <c r="B73" s="19" t="s">
        <v>121</v>
      </c>
      <c r="C73" s="20"/>
      <c r="D73" s="156"/>
      <c r="E73" s="135">
        <f>IF($J$74&gt;0,J73/$J$74,0)</f>
        <v>0</v>
      </c>
      <c r="F73" s="136">
        <v>0</v>
      </c>
      <c r="G73" s="136">
        <v>0</v>
      </c>
      <c r="H73" s="136">
        <v>0</v>
      </c>
      <c r="I73" s="137">
        <v>0</v>
      </c>
      <c r="J73" s="350">
        <f>IF(AU73="",AG73,AU73)</f>
        <v>0</v>
      </c>
      <c r="K73" s="19"/>
      <c r="L73" s="342" t="s">
        <v>114</v>
      </c>
      <c r="M73" s="358">
        <f>IF(AX73="",AJ73,AX73)</f>
        <v>0</v>
      </c>
      <c r="N73" s="20"/>
      <c r="O73" s="342" t="s">
        <v>122</v>
      </c>
      <c r="P73" s="358">
        <f>IF(BA73="",AM73,BA73)</f>
        <v>0</v>
      </c>
      <c r="Q73" s="20" t="s">
        <v>115</v>
      </c>
      <c r="R73" s="351"/>
      <c r="S73" s="339" t="s">
        <v>116</v>
      </c>
      <c r="T73" s="359">
        <f>'[1]Inputs'!O591</f>
        <v>0</v>
      </c>
      <c r="U73" s="20" t="s">
        <v>117</v>
      </c>
      <c r="V73" s="73"/>
      <c r="W73" s="20"/>
      <c r="Z73" s="146">
        <f t="shared" si="16"/>
        <v>0</v>
      </c>
      <c r="AA73" s="299"/>
      <c r="AB73" s="300"/>
      <c r="AE73" s="149">
        <v>0</v>
      </c>
      <c r="AG73" s="149">
        <f>'[1]Inputs'!$O582+'[1]Inputs'!$O585+'[1]Inputs'!$O588</f>
        <v>0</v>
      </c>
      <c r="AH73" s="20"/>
      <c r="AI73" s="342"/>
      <c r="AJ73" s="360">
        <f>'[1]Inputs'!$O579</f>
        <v>0</v>
      </c>
      <c r="AK73" s="20"/>
      <c r="AL73" s="342"/>
      <c r="AM73" s="361">
        <f>'[1]Inputs'!$O576</f>
        <v>0</v>
      </c>
      <c r="AN73" s="20"/>
      <c r="AO73" s="344"/>
      <c r="AP73" s="345"/>
      <c r="AQ73" s="362"/>
      <c r="AR73" s="344"/>
      <c r="AS73" s="20"/>
      <c r="AT73" s="83"/>
      <c r="AU73" s="136"/>
      <c r="AV73" s="20"/>
      <c r="AW73" s="342"/>
      <c r="AX73" s="363"/>
      <c r="AY73" s="20"/>
      <c r="AZ73" s="342"/>
      <c r="BA73" s="364"/>
      <c r="BB73" s="20"/>
      <c r="BC73" s="344"/>
      <c r="BD73" s="345"/>
      <c r="BE73" s="365"/>
      <c r="BF73" s="344"/>
      <c r="BG73" s="20"/>
    </row>
    <row r="74" spans="2:59" ht="15.75" collapsed="1">
      <c r="B74" s="171" t="s">
        <v>123</v>
      </c>
      <c r="C74" s="20"/>
      <c r="D74" s="156"/>
      <c r="E74" s="156"/>
      <c r="F74" s="320">
        <f>F70+F71+F72+F73</f>
        <v>0</v>
      </c>
      <c r="G74" s="320">
        <f>G70+G71+G72+G73</f>
        <v>0</v>
      </c>
      <c r="H74" s="320">
        <f>H70+H71+H72+H73</f>
        <v>0</v>
      </c>
      <c r="I74" s="320">
        <f>I70+I71+I72+I73</f>
        <v>0</v>
      </c>
      <c r="J74" s="366">
        <f>IF(D38="YES",L50+J51+J52,IF(AU74="",AG74,AU74))</f>
        <v>401.1</v>
      </c>
      <c r="K74" s="19"/>
      <c r="L74" s="20"/>
      <c r="M74" s="26"/>
      <c r="N74" s="26"/>
      <c r="O74" s="26"/>
      <c r="P74" s="26"/>
      <c r="Q74" s="26"/>
      <c r="R74" s="367"/>
      <c r="S74" s="367"/>
      <c r="T74" s="368"/>
      <c r="U74" s="368"/>
      <c r="V74" s="367"/>
      <c r="W74" s="20"/>
      <c r="Z74" s="146">
        <f t="shared" si="16"/>
        <v>0</v>
      </c>
      <c r="AA74" s="299"/>
      <c r="AB74" s="300"/>
      <c r="AE74" s="206">
        <v>0</v>
      </c>
      <c r="AF74" s="83"/>
      <c r="AG74" s="206">
        <f>J70+J71+J72+J73</f>
        <v>401.1</v>
      </c>
      <c r="AH74" s="20"/>
      <c r="AI74" s="20"/>
      <c r="AO74" s="368"/>
      <c r="AP74" s="368"/>
      <c r="AQ74" s="368"/>
      <c r="AR74" s="368"/>
      <c r="AS74" s="368"/>
      <c r="AT74" s="83"/>
      <c r="AU74" s="369"/>
      <c r="AV74" s="20"/>
      <c r="AW74" s="20"/>
      <c r="BC74" s="368"/>
      <c r="BD74" s="368"/>
      <c r="BE74" s="368"/>
      <c r="BF74" s="368"/>
      <c r="BG74" s="368"/>
    </row>
    <row r="75" spans="2:59" ht="15.75" hidden="1" outlineLevel="1">
      <c r="B75" s="19"/>
      <c r="C75" s="20"/>
      <c r="D75" s="156"/>
      <c r="E75" s="156"/>
      <c r="F75" s="370"/>
      <c r="G75" s="370"/>
      <c r="H75" s="370"/>
      <c r="I75" s="370"/>
      <c r="J75" s="371"/>
      <c r="K75" s="19"/>
      <c r="L75" s="26"/>
      <c r="M75" s="26"/>
      <c r="N75" s="26"/>
      <c r="O75" s="26"/>
      <c r="P75" s="26"/>
      <c r="Q75" s="372"/>
      <c r="R75" s="373"/>
      <c r="S75" s="373"/>
      <c r="T75" s="181"/>
      <c r="U75" s="181"/>
      <c r="V75" s="373"/>
      <c r="W75" s="20"/>
      <c r="Z75" s="146">
        <f t="shared" si="16"/>
        <v>0</v>
      </c>
      <c r="AA75" s="299"/>
      <c r="AB75" s="300"/>
      <c r="AE75" s="374"/>
      <c r="AF75" s="83"/>
      <c r="AG75" s="219"/>
      <c r="AH75" s="20"/>
      <c r="AI75" s="342"/>
      <c r="AJ75" s="375"/>
      <c r="AO75" s="181"/>
      <c r="AP75" s="181"/>
      <c r="AQ75" s="181"/>
      <c r="AR75" s="181"/>
      <c r="AS75" s="181"/>
      <c r="AT75" s="83"/>
      <c r="AU75" s="219"/>
      <c r="AV75" s="20"/>
      <c r="AW75" s="342"/>
      <c r="BC75" s="181"/>
      <c r="BD75" s="181"/>
      <c r="BE75" s="181"/>
      <c r="BF75" s="181"/>
      <c r="BG75" s="181"/>
    </row>
    <row r="76" spans="2:49" ht="15.75" hidden="1" outlineLevel="1">
      <c r="B76" s="19" t="s">
        <v>124</v>
      </c>
      <c r="C76" s="20"/>
      <c r="D76" s="156"/>
      <c r="E76" s="156"/>
      <c r="F76" s="370"/>
      <c r="G76" s="370"/>
      <c r="H76" s="370"/>
      <c r="I76" s="370"/>
      <c r="J76" s="376" t="str">
        <f>IF(M76=0,"n/a",IF(AU76="",AG76,AU76))</f>
        <v>n/a</v>
      </c>
      <c r="K76" s="377"/>
      <c r="L76" s="378" t="s">
        <v>125</v>
      </c>
      <c r="M76" s="379">
        <v>0</v>
      </c>
      <c r="N76" s="380" t="s">
        <v>126</v>
      </c>
      <c r="O76" s="381"/>
      <c r="P76" s="382"/>
      <c r="Q76" s="382"/>
      <c r="R76" s="383"/>
      <c r="S76" s="383"/>
      <c r="T76" s="384"/>
      <c r="U76" s="384"/>
      <c r="V76" s="385"/>
      <c r="W76" s="20"/>
      <c r="Z76" s="386"/>
      <c r="AA76" s="299"/>
      <c r="AB76" s="300"/>
      <c r="AE76" s="27"/>
      <c r="AF76" s="83"/>
      <c r="AG76" s="387">
        <f>'[1]Inputs'!O704</f>
        <v>0</v>
      </c>
      <c r="AH76" s="83"/>
      <c r="AI76" s="83"/>
      <c r="AJ76" s="83"/>
      <c r="AK76" s="83"/>
      <c r="AL76" s="83"/>
      <c r="AM76" s="388"/>
      <c r="AN76" s="388"/>
      <c r="AO76" s="388"/>
      <c r="AP76" s="388"/>
      <c r="AQ76" s="388"/>
      <c r="AR76" s="388"/>
      <c r="AS76" s="388"/>
      <c r="AT76" s="389" t="s">
        <v>127</v>
      </c>
      <c r="AU76" s="390"/>
      <c r="AV76" s="391">
        <f>0.35*AG77</f>
        <v>140.385</v>
      </c>
      <c r="AW76" s="1" t="s">
        <v>128</v>
      </c>
    </row>
    <row r="77" spans="2:47" ht="15.75" hidden="1" outlineLevel="1">
      <c r="B77" s="171" t="s">
        <v>129</v>
      </c>
      <c r="C77" s="20"/>
      <c r="D77" s="156"/>
      <c r="E77" s="392"/>
      <c r="F77" s="370"/>
      <c r="G77" s="370"/>
      <c r="H77" s="370"/>
      <c r="I77" s="370"/>
      <c r="J77" s="393" t="str">
        <f>IF(M76=0,"n/a",J74+J76)</f>
        <v>n/a</v>
      </c>
      <c r="K77" s="377"/>
      <c r="L77" s="378" t="s">
        <v>130</v>
      </c>
      <c r="M77" s="719" t="str">
        <f>IF(M76=0,"n/a",'[1]Inputs'!O703)</f>
        <v>n/a</v>
      </c>
      <c r="N77" s="380" t="s">
        <v>131</v>
      </c>
      <c r="O77" s="380"/>
      <c r="P77" s="394"/>
      <c r="Q77" s="382"/>
      <c r="R77" s="395"/>
      <c r="S77" s="396"/>
      <c r="T77" s="382"/>
      <c r="U77" s="382"/>
      <c r="V77" s="73"/>
      <c r="W77" s="20"/>
      <c r="Z77" s="292"/>
      <c r="AA77" s="299"/>
      <c r="AB77" s="300"/>
      <c r="AE77" s="27"/>
      <c r="AF77" s="83"/>
      <c r="AG77" s="397">
        <f>AG74+AG76</f>
        <v>401.1</v>
      </c>
      <c r="AH77" s="83"/>
      <c r="AI77" s="83"/>
      <c r="AJ77" s="83"/>
      <c r="AK77" s="83"/>
      <c r="AL77" s="83"/>
      <c r="AM77" s="388"/>
      <c r="AN77" s="388"/>
      <c r="AO77" s="388"/>
      <c r="AP77" s="388"/>
      <c r="AQ77" s="388"/>
      <c r="AR77" s="388"/>
      <c r="AS77" s="388"/>
      <c r="AT77" s="388"/>
      <c r="AU77" s="398"/>
    </row>
    <row r="78" spans="2:47" ht="15.75">
      <c r="B78" s="19"/>
      <c r="C78" s="20"/>
      <c r="D78" s="156"/>
      <c r="E78" s="342"/>
      <c r="F78" s="370"/>
      <c r="G78" s="370"/>
      <c r="H78" s="370"/>
      <c r="I78" s="370"/>
      <c r="J78" s="371"/>
      <c r="K78" s="399"/>
      <c r="L78" s="400"/>
      <c r="M78" s="20"/>
      <c r="N78" s="20"/>
      <c r="O78" s="20"/>
      <c r="P78" s="20"/>
      <c r="Q78" s="20"/>
      <c r="R78" s="401"/>
      <c r="S78" s="401"/>
      <c r="T78" s="402"/>
      <c r="U78" s="402"/>
      <c r="V78" s="401"/>
      <c r="W78" s="20"/>
      <c r="Z78" s="146">
        <f>IF(AE78=0,0,(J78-AE78)/AE78)</f>
        <v>0</v>
      </c>
      <c r="AA78" s="299"/>
      <c r="AB78" s="300"/>
      <c r="AE78" s="27"/>
      <c r="AF78" s="83"/>
      <c r="AG78" s="403"/>
      <c r="AH78" s="83"/>
      <c r="AI78" s="83"/>
      <c r="AJ78" s="83"/>
      <c r="AK78" s="83"/>
      <c r="AL78" s="83"/>
      <c r="AM78" s="388"/>
      <c r="AN78" s="388"/>
      <c r="AO78" s="388"/>
      <c r="AP78" s="388"/>
      <c r="AQ78" s="388"/>
      <c r="AR78" s="388"/>
      <c r="AS78" s="388"/>
      <c r="AT78" s="388"/>
      <c r="AU78" s="398"/>
    </row>
    <row r="79" spans="2:59" ht="15.75">
      <c r="B79" s="19" t="s">
        <v>132</v>
      </c>
      <c r="C79" s="20"/>
      <c r="D79" s="156"/>
      <c r="E79" s="156"/>
      <c r="F79" s="370"/>
      <c r="G79" s="370"/>
      <c r="H79" s="370"/>
      <c r="I79" s="370"/>
      <c r="J79" s="350">
        <v>25</v>
      </c>
      <c r="K79" s="399"/>
      <c r="L79" s="342"/>
      <c r="M79" s="245"/>
      <c r="N79" s="20"/>
      <c r="O79" s="20"/>
      <c r="P79" s="20"/>
      <c r="Q79" s="20"/>
      <c r="R79" s="385"/>
      <c r="S79" s="385"/>
      <c r="T79" s="404"/>
      <c r="U79" s="404"/>
      <c r="V79" s="385"/>
      <c r="W79" s="20"/>
      <c r="Z79" s="146">
        <f>IF(AE79=0,0,(J79-AE79)/AE79)</f>
        <v>0</v>
      </c>
      <c r="AA79" s="299"/>
      <c r="AB79" s="300"/>
      <c r="AE79" s="149">
        <v>0</v>
      </c>
      <c r="AF79" s="83"/>
      <c r="AG79" s="149">
        <f>'[1]Inputs'!$O$535*(1+K60)</f>
        <v>0</v>
      </c>
      <c r="AH79" s="400"/>
      <c r="AI79" s="342"/>
      <c r="AJ79" s="375"/>
      <c r="AO79" s="404"/>
      <c r="AP79" s="404"/>
      <c r="AQ79" s="404"/>
      <c r="AR79" s="404"/>
      <c r="AS79" s="404"/>
      <c r="AT79" s="83"/>
      <c r="AU79" s="136"/>
      <c r="AV79" s="400"/>
      <c r="AW79" s="342"/>
      <c r="BC79" s="404"/>
      <c r="BD79" s="404"/>
      <c r="BE79" s="404"/>
      <c r="BF79" s="404"/>
      <c r="BG79" s="404"/>
    </row>
    <row r="80" spans="2:59" ht="15.75">
      <c r="B80" s="171" t="s">
        <v>133</v>
      </c>
      <c r="C80" s="20"/>
      <c r="D80" s="342"/>
      <c r="E80" s="342"/>
      <c r="F80" s="405"/>
      <c r="G80" s="405"/>
      <c r="H80" s="405"/>
      <c r="I80" s="405"/>
      <c r="J80" s="366">
        <f>IF(AU80="",AG80,AU80)</f>
        <v>426.1</v>
      </c>
      <c r="K80" s="399"/>
      <c r="L80" s="342"/>
      <c r="M80" s="245"/>
      <c r="N80" s="20"/>
      <c r="O80" s="20"/>
      <c r="P80" s="20"/>
      <c r="Q80" s="20"/>
      <c r="R80" s="401"/>
      <c r="S80" s="401"/>
      <c r="T80" s="402"/>
      <c r="U80" s="402"/>
      <c r="V80" s="401"/>
      <c r="W80" s="20"/>
      <c r="Z80" s="146">
        <f>IF(AE80=0,0,(J80-AE80)/AE80)</f>
        <v>0</v>
      </c>
      <c r="AA80" s="299"/>
      <c r="AB80" s="300"/>
      <c r="AE80" s="397">
        <v>0</v>
      </c>
      <c r="AF80" s="83"/>
      <c r="AG80" s="406">
        <f>J74+IF(J76="n/a",0,J76)+J79</f>
        <v>426.1</v>
      </c>
      <c r="AH80" s="400"/>
      <c r="AI80" s="400"/>
      <c r="AO80" s="402"/>
      <c r="AP80" s="402"/>
      <c r="AQ80" s="402"/>
      <c r="AR80" s="402"/>
      <c r="AS80" s="402"/>
      <c r="AT80" s="83"/>
      <c r="AU80" s="390"/>
      <c r="AV80" s="400"/>
      <c r="AW80" s="400"/>
      <c r="BC80" s="402"/>
      <c r="BD80" s="402"/>
      <c r="BE80" s="402"/>
      <c r="BF80" s="402"/>
      <c r="BG80" s="402"/>
    </row>
    <row r="81" spans="2:46" ht="15.75">
      <c r="B81" s="19"/>
      <c r="C81" s="20"/>
      <c r="D81" s="156"/>
      <c r="E81" s="156"/>
      <c r="F81" s="370"/>
      <c r="G81" s="370"/>
      <c r="H81" s="370"/>
      <c r="I81" s="370"/>
      <c r="J81" s="371"/>
      <c r="K81" s="399"/>
      <c r="L81" s="400"/>
      <c r="M81" s="20"/>
      <c r="N81" s="20"/>
      <c r="O81" s="20"/>
      <c r="P81" s="20"/>
      <c r="Q81" s="20"/>
      <c r="R81" s="73"/>
      <c r="S81" s="73"/>
      <c r="T81" s="20"/>
      <c r="U81" s="20"/>
      <c r="V81" s="73"/>
      <c r="W81" s="20"/>
      <c r="Z81" s="292"/>
      <c r="AA81" s="299"/>
      <c r="AB81" s="300"/>
      <c r="AE81" s="27"/>
      <c r="AF81" s="83"/>
      <c r="AH81" s="388" t="s">
        <v>134</v>
      </c>
      <c r="AI81" s="407" t="s">
        <v>135</v>
      </c>
      <c r="AJ81" s="83"/>
      <c r="AK81" s="83"/>
      <c r="AL81" s="83"/>
      <c r="AM81" s="388"/>
      <c r="AN81" s="388"/>
      <c r="AO81" s="388"/>
      <c r="AP81" s="388"/>
      <c r="AQ81" s="388"/>
      <c r="AR81" s="388"/>
      <c r="AS81" s="388"/>
      <c r="AT81" s="388"/>
    </row>
    <row r="82" spans="2:46" ht="15.75">
      <c r="B82" s="171" t="s">
        <v>136</v>
      </c>
      <c r="C82" s="20"/>
      <c r="D82" s="156"/>
      <c r="E82" s="156"/>
      <c r="F82" s="370"/>
      <c r="G82" s="370"/>
      <c r="H82" s="370"/>
      <c r="I82" s="370"/>
      <c r="J82" s="408">
        <v>800</v>
      </c>
      <c r="K82" s="604"/>
      <c r="L82" s="409"/>
      <c r="M82" s="409"/>
      <c r="N82" s="409"/>
      <c r="O82" s="409"/>
      <c r="P82" s="409"/>
      <c r="Q82" s="411"/>
      <c r="R82" s="410"/>
      <c r="S82" s="410"/>
      <c r="T82" s="411"/>
      <c r="U82" s="411"/>
      <c r="V82" s="410"/>
      <c r="W82" s="409"/>
      <c r="X82" s="412"/>
      <c r="Y82" s="412"/>
      <c r="Z82" s="245"/>
      <c r="AA82" s="413"/>
      <c r="AB82" s="414"/>
      <c r="AE82" s="27"/>
      <c r="AF82" s="83"/>
      <c r="AG82" s="415" t="s">
        <v>137</v>
      </c>
      <c r="AH82" s="416">
        <f>MAX(0,(1+$N$90)*Instruments_Mass_CBE-L21)</f>
        <v>2.799999999999997</v>
      </c>
      <c r="AI82" s="416"/>
      <c r="AJ82" s="83"/>
      <c r="AK82" s="83"/>
      <c r="AL82" s="83"/>
      <c r="AM82" s="388"/>
      <c r="AN82" s="388"/>
      <c r="AO82" s="388"/>
      <c r="AP82" s="388"/>
      <c r="AQ82" s="388"/>
      <c r="AR82" s="388"/>
      <c r="AS82" s="388"/>
      <c r="AT82" s="388"/>
    </row>
    <row r="83" spans="2:46" ht="15.75">
      <c r="B83" s="171"/>
      <c r="C83" s="20"/>
      <c r="D83" s="156"/>
      <c r="E83" s="156"/>
      <c r="F83" s="370"/>
      <c r="G83" s="370"/>
      <c r="H83" s="370"/>
      <c r="I83" s="370"/>
      <c r="J83" s="371"/>
      <c r="K83" s="417"/>
      <c r="L83" s="409"/>
      <c r="M83" s="409"/>
      <c r="N83" s="409"/>
      <c r="O83" s="409"/>
      <c r="P83" s="409"/>
      <c r="Q83" s="316"/>
      <c r="R83" s="317"/>
      <c r="S83" s="317"/>
      <c r="T83" s="316"/>
      <c r="U83" s="316"/>
      <c r="V83" s="317"/>
      <c r="W83" s="20"/>
      <c r="X83" s="412"/>
      <c r="Y83" s="412"/>
      <c r="Z83" s="20"/>
      <c r="AA83" s="413"/>
      <c r="AB83" s="414"/>
      <c r="AE83" s="27"/>
      <c r="AF83" s="83"/>
      <c r="AG83" s="415" t="s">
        <v>138</v>
      </c>
      <c r="AH83" s="416">
        <f>MAX(0,(1+$N$91)*SUM(J22:J27)-SUM(L22:L27))</f>
        <v>0</v>
      </c>
      <c r="AI83" s="416"/>
      <c r="AJ83" s="83"/>
      <c r="AK83" s="83"/>
      <c r="AL83" s="83"/>
      <c r="AM83" s="388"/>
      <c r="AN83" s="388"/>
      <c r="AO83" s="388"/>
      <c r="AP83" s="388"/>
      <c r="AQ83" s="388"/>
      <c r="AR83" s="388"/>
      <c r="AS83" s="388"/>
      <c r="AT83" s="388"/>
    </row>
    <row r="84" spans="2:46" s="432" customFormat="1" ht="27" customHeight="1" thickBot="1">
      <c r="B84" s="418" t="s">
        <v>139</v>
      </c>
      <c r="C84" s="419"/>
      <c r="D84" s="420"/>
      <c r="E84" s="420"/>
      <c r="F84" s="421"/>
      <c r="G84" s="421"/>
      <c r="H84" s="421"/>
      <c r="I84" s="421"/>
      <c r="J84" s="422">
        <f>J82-J80</f>
        <v>373.9</v>
      </c>
      <c r="K84" s="605"/>
      <c r="L84" s="423"/>
      <c r="M84" s="423"/>
      <c r="N84" s="423"/>
      <c r="O84" s="424"/>
      <c r="P84" s="424"/>
      <c r="Q84" s="606"/>
      <c r="R84" s="425"/>
      <c r="S84" s="426"/>
      <c r="T84" s="427"/>
      <c r="U84" s="427"/>
      <c r="V84" s="426"/>
      <c r="W84" s="428"/>
      <c r="X84" s="412"/>
      <c r="Y84" s="412"/>
      <c r="Z84" s="429"/>
      <c r="AA84" s="430"/>
      <c r="AB84" s="431"/>
      <c r="AE84" s="433"/>
      <c r="AF84" s="434"/>
      <c r="AG84" s="415" t="s">
        <v>140</v>
      </c>
      <c r="AH84" s="416">
        <f>MAX(0,(1+$N$95)*Bus_Mass_CBE-L65)</f>
        <v>35.5</v>
      </c>
      <c r="AI84" s="435"/>
      <c r="AJ84" s="434"/>
      <c r="AK84" s="434"/>
      <c r="AL84" s="434"/>
      <c r="AM84" s="436"/>
      <c r="AN84" s="436"/>
      <c r="AO84" s="436"/>
      <c r="AP84" s="436"/>
      <c r="AQ84" s="436"/>
      <c r="AR84" s="436"/>
      <c r="AS84" s="436"/>
      <c r="AT84" s="436"/>
    </row>
    <row r="85" spans="2:46" s="446" customFormat="1" ht="16.5" thickBot="1">
      <c r="B85" s="437" t="s">
        <v>141</v>
      </c>
      <c r="C85" s="438"/>
      <c r="D85" s="439"/>
      <c r="E85" s="439"/>
      <c r="F85" s="440"/>
      <c r="G85" s="440"/>
      <c r="H85" s="440"/>
      <c r="I85" s="440"/>
      <c r="J85" s="441">
        <f>O103</f>
        <v>0.6242038216560509</v>
      </c>
      <c r="K85" s="742" t="s">
        <v>426</v>
      </c>
      <c r="L85" s="743"/>
      <c r="M85" s="442"/>
      <c r="N85" s="442"/>
      <c r="O85" s="442"/>
      <c r="P85" s="443"/>
      <c r="Q85" s="443"/>
      <c r="R85" s="444"/>
      <c r="S85" s="444"/>
      <c r="T85" s="443"/>
      <c r="U85" s="443"/>
      <c r="V85" s="444"/>
      <c r="W85" s="445"/>
      <c r="X85"/>
      <c r="Y85"/>
      <c r="Z85" s="20"/>
      <c r="AA85" s="20"/>
      <c r="AB85" s="20"/>
      <c r="AE85" s="447"/>
      <c r="AF85" s="448"/>
      <c r="AG85" s="449" t="s">
        <v>134</v>
      </c>
      <c r="AH85" s="450">
        <f>SUM(AH82:AH84)</f>
        <v>38.3</v>
      </c>
      <c r="AI85" s="451">
        <f>$N$96*(L67-L36)</f>
        <v>17.39</v>
      </c>
      <c r="AJ85" s="448"/>
      <c r="AK85" s="448"/>
      <c r="AL85" s="448"/>
      <c r="AM85" s="388"/>
      <c r="AN85" s="388"/>
      <c r="AO85" s="388"/>
      <c r="AP85" s="388"/>
      <c r="AQ85" s="388"/>
      <c r="AR85" s="388"/>
      <c r="AS85" s="388"/>
      <c r="AT85" s="388"/>
    </row>
    <row r="86" spans="2:46" s="446" customFormat="1" ht="15.75">
      <c r="B86" s="1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1"/>
      <c r="P86" s="1"/>
      <c r="Q86" s="1"/>
      <c r="X86"/>
      <c r="Y86"/>
      <c r="AG86" s="415"/>
      <c r="AH86" s="415"/>
      <c r="AI86" s="415"/>
      <c r="AJ86" s="415"/>
      <c r="AK86" s="415"/>
      <c r="AL86" s="415"/>
      <c r="AM86" s="415"/>
      <c r="AN86" s="415"/>
      <c r="AO86" s="415"/>
      <c r="AP86" s="415"/>
      <c r="AQ86" s="415"/>
      <c r="AR86" s="415"/>
      <c r="AS86" s="415"/>
      <c r="AT86" s="415"/>
    </row>
    <row r="87" spans="2:25" s="446" customFormat="1" ht="16.5" hidden="1" thickBot="1">
      <c r="B87" s="452" t="s">
        <v>142</v>
      </c>
      <c r="C87" s="453"/>
      <c r="D87" s="453"/>
      <c r="E87" s="454"/>
      <c r="K87" s="455"/>
      <c r="L87" s="456" t="s">
        <v>143</v>
      </c>
      <c r="M87" s="457"/>
      <c r="N87" s="458"/>
      <c r="O87" s="458"/>
      <c r="P87" s="458"/>
      <c r="Q87" s="459"/>
      <c r="S87" s="460"/>
      <c r="T87" s="461"/>
      <c r="U87" s="458"/>
      <c r="V87" s="462" t="s">
        <v>144</v>
      </c>
      <c r="X87"/>
      <c r="Y87"/>
    </row>
    <row r="88" spans="2:25" s="446" customFormat="1" ht="15.75" hidden="1">
      <c r="B88" s="463"/>
      <c r="C88" s="464" t="s">
        <v>145</v>
      </c>
      <c r="D88" s="464"/>
      <c r="E88" s="30"/>
      <c r="K88" s="465"/>
      <c r="L88" s="466"/>
      <c r="M88" s="82"/>
      <c r="N88" s="739" t="s">
        <v>48</v>
      </c>
      <c r="O88" s="740"/>
      <c r="P88" s="739" t="s">
        <v>50</v>
      </c>
      <c r="Q88" s="740"/>
      <c r="S88" s="467" t="s">
        <v>146</v>
      </c>
      <c r="T88" s="26"/>
      <c r="U88" s="468">
        <f>'[1]Inputs'!O799</f>
        <v>0.3</v>
      </c>
      <c r="V88" s="469" t="s">
        <v>55</v>
      </c>
      <c r="X88"/>
      <c r="Y88"/>
    </row>
    <row r="89" spans="2:25" s="446" customFormat="1" ht="16.5" hidden="1" thickBot="1">
      <c r="B89" s="470"/>
      <c r="C89" s="464" t="s">
        <v>147</v>
      </c>
      <c r="D89" s="464"/>
      <c r="E89" s="30"/>
      <c r="K89" s="471"/>
      <c r="L89" s="472"/>
      <c r="M89" s="61"/>
      <c r="N89" s="473" t="s">
        <v>148</v>
      </c>
      <c r="O89" s="474" t="s">
        <v>149</v>
      </c>
      <c r="P89" s="473" t="s">
        <v>148</v>
      </c>
      <c r="Q89" s="474" t="s">
        <v>149</v>
      </c>
      <c r="S89" s="467" t="s">
        <v>150</v>
      </c>
      <c r="T89" s="26"/>
      <c r="U89" s="468">
        <f>'[1]Inputs'!O801</f>
        <v>0.15</v>
      </c>
      <c r="V89" s="469" t="s">
        <v>55</v>
      </c>
      <c r="X89"/>
      <c r="Y89"/>
    </row>
    <row r="90" spans="2:25" s="446" customFormat="1" ht="16.5" hidden="1" thickBot="1">
      <c r="B90" s="475"/>
      <c r="C90" s="464" t="s">
        <v>151</v>
      </c>
      <c r="D90" s="464"/>
      <c r="E90" s="30"/>
      <c r="K90" s="335"/>
      <c r="L90" s="336"/>
      <c r="M90" s="336" t="s">
        <v>152</v>
      </c>
      <c r="N90" s="476">
        <v>0.43</v>
      </c>
      <c r="O90" s="477">
        <f>N90/(1+N90)</f>
        <v>0.30069930069930073</v>
      </c>
      <c r="P90" s="476">
        <v>0.43</v>
      </c>
      <c r="Q90" s="477">
        <f>P90/(1+P90)</f>
        <v>0.30069930069930073</v>
      </c>
      <c r="S90" s="478" t="s">
        <v>153</v>
      </c>
      <c r="T90" s="65"/>
      <c r="U90" s="479">
        <f>'[1]Inputs'!O800</f>
        <v>70.3117720241285</v>
      </c>
      <c r="V90" s="480" t="s">
        <v>55</v>
      </c>
      <c r="X90"/>
      <c r="Y90"/>
    </row>
    <row r="91" spans="2:25" s="446" customFormat="1" ht="16.5" hidden="1" thickBot="1">
      <c r="B91" s="481"/>
      <c r="C91" s="482" t="s">
        <v>154</v>
      </c>
      <c r="D91" s="482"/>
      <c r="E91" s="64"/>
      <c r="K91" s="19"/>
      <c r="L91" s="409"/>
      <c r="M91" s="409" t="s">
        <v>155</v>
      </c>
      <c r="N91" s="483">
        <v>0.43</v>
      </c>
      <c r="O91" s="484">
        <f>N91/(1+N91)</f>
        <v>0.30069930069930073</v>
      </c>
      <c r="P91" s="483">
        <v>0.43</v>
      </c>
      <c r="Q91" s="484">
        <f>P91/(1+P91)</f>
        <v>0.30069930069930073</v>
      </c>
      <c r="X91"/>
      <c r="Y91"/>
    </row>
    <row r="92" spans="11:25" s="446" customFormat="1" ht="15.75" hidden="1">
      <c r="K92" s="19"/>
      <c r="L92" s="409"/>
      <c r="M92" s="409" t="s">
        <v>156</v>
      </c>
      <c r="N92" s="483">
        <v>0</v>
      </c>
      <c r="O92" s="484">
        <f>N92/(1+N92)</f>
        <v>0</v>
      </c>
      <c r="P92" s="483">
        <v>0</v>
      </c>
      <c r="Q92" s="484">
        <f>P92/(1+P92)</f>
        <v>0</v>
      </c>
      <c r="X92"/>
      <c r="Y92"/>
    </row>
    <row r="93" spans="11:25" s="446" customFormat="1" ht="15.75" hidden="1">
      <c r="K93" s="19"/>
      <c r="L93" s="409"/>
      <c r="M93" s="409" t="s">
        <v>157</v>
      </c>
      <c r="N93" s="483">
        <v>0.43</v>
      </c>
      <c r="O93" s="485"/>
      <c r="P93" s="486"/>
      <c r="Q93" s="485"/>
      <c r="X93"/>
      <c r="Y93"/>
    </row>
    <row r="94" spans="2:25" s="446" customFormat="1" ht="15.75" hidden="1">
      <c r="B94" s="487"/>
      <c r="C94" s="464"/>
      <c r="D94" s="464"/>
      <c r="E94" s="26"/>
      <c r="K94" s="19"/>
      <c r="L94" s="409"/>
      <c r="M94" s="409" t="s">
        <v>158</v>
      </c>
      <c r="N94" s="737" t="s">
        <v>159</v>
      </c>
      <c r="O94" s="737"/>
      <c r="P94" s="737"/>
      <c r="Q94" s="738"/>
      <c r="X94"/>
      <c r="Y94"/>
    </row>
    <row r="95" spans="11:25" s="446" customFormat="1" ht="15.75" hidden="1">
      <c r="K95" s="19"/>
      <c r="L95" s="342"/>
      <c r="M95" s="342" t="s">
        <v>160</v>
      </c>
      <c r="N95" s="488">
        <v>0.43</v>
      </c>
      <c r="O95" s="484">
        <f>N95/(1+N95)</f>
        <v>0.30069930069930073</v>
      </c>
      <c r="P95" s="488">
        <v>0.43</v>
      </c>
      <c r="Q95" s="484">
        <f>P95/(1+P95)</f>
        <v>0.30069930069930073</v>
      </c>
      <c r="R95" s="489" t="s">
        <v>241</v>
      </c>
      <c r="T95" s="489"/>
      <c r="U95" s="489"/>
      <c r="X95"/>
      <c r="Y95"/>
    </row>
    <row r="96" spans="11:25" s="446" customFormat="1" ht="16.5" hidden="1" thickBot="1">
      <c r="K96" s="490"/>
      <c r="L96" s="491"/>
      <c r="M96" s="491" t="s">
        <v>161</v>
      </c>
      <c r="N96" s="492">
        <v>0.05</v>
      </c>
      <c r="O96" s="493">
        <f>N96/(1+N96)</f>
        <v>0.047619047619047616</v>
      </c>
      <c r="P96" s="494"/>
      <c r="Q96" s="495"/>
      <c r="R96" s="489" t="s">
        <v>162</v>
      </c>
      <c r="T96" s="489"/>
      <c r="U96" s="489"/>
      <c r="X96"/>
      <c r="Y96"/>
    </row>
    <row r="97" spans="24:25" s="446" customFormat="1" ht="16.5" hidden="1" thickBot="1">
      <c r="X97"/>
      <c r="Y97"/>
    </row>
    <row r="98" spans="2:22" s="446" customFormat="1" ht="15.75" hidden="1">
      <c r="B98" s="496" t="s">
        <v>163</v>
      </c>
      <c r="C98" s="458"/>
      <c r="D98" s="458"/>
      <c r="E98" s="459"/>
      <c r="K98" s="455"/>
      <c r="L98" s="741" t="s">
        <v>164</v>
      </c>
      <c r="M98" s="741"/>
      <c r="N98" s="741"/>
      <c r="O98" s="741"/>
      <c r="P98" s="711"/>
      <c r="Q98" s="455"/>
      <c r="R98" s="741" t="s">
        <v>165</v>
      </c>
      <c r="S98" s="741"/>
      <c r="T98" s="741"/>
      <c r="U98" s="741"/>
      <c r="V98" s="711"/>
    </row>
    <row r="99" spans="2:22" s="446" customFormat="1" ht="16.5" hidden="1" thickBot="1">
      <c r="B99" s="497"/>
      <c r="C99" s="498" t="s">
        <v>166</v>
      </c>
      <c r="D99" s="499"/>
      <c r="E99" s="500" t="s">
        <v>117</v>
      </c>
      <c r="K99" s="471"/>
      <c r="L99" s="501"/>
      <c r="M99" s="472"/>
      <c r="N99" s="61" t="s">
        <v>117</v>
      </c>
      <c r="O99" s="61" t="s">
        <v>55</v>
      </c>
      <c r="P99" s="502"/>
      <c r="Q99" s="471"/>
      <c r="R99" s="501"/>
      <c r="S99" s="472"/>
      <c r="T99" s="61" t="s">
        <v>117</v>
      </c>
      <c r="U99" s="61" t="s">
        <v>55</v>
      </c>
      <c r="V99" s="502"/>
    </row>
    <row r="100" spans="1:25" ht="15.75" hidden="1">
      <c r="A100" s="446"/>
      <c r="B100" s="497"/>
      <c r="C100" s="498" t="s">
        <v>167</v>
      </c>
      <c r="D100" s="503"/>
      <c r="E100" s="30" t="s">
        <v>117</v>
      </c>
      <c r="K100" s="335"/>
      <c r="L100" s="337"/>
      <c r="M100" s="336" t="s">
        <v>168</v>
      </c>
      <c r="N100" s="504">
        <f>J82-L36</f>
        <v>800</v>
      </c>
      <c r="O100" s="505" t="s">
        <v>169</v>
      </c>
      <c r="P100" s="506"/>
      <c r="Q100" s="335"/>
      <c r="R100" s="337"/>
      <c r="S100" s="336" t="s">
        <v>168</v>
      </c>
      <c r="T100" s="504">
        <f>J82-L36</f>
        <v>800</v>
      </c>
      <c r="U100" s="505"/>
      <c r="V100" s="506"/>
      <c r="X100" s="1"/>
      <c r="Y100" s="1"/>
    </row>
    <row r="101" spans="1:25" ht="15.75" hidden="1">
      <c r="A101" s="446"/>
      <c r="B101" s="497"/>
      <c r="C101" s="498" t="s">
        <v>170</v>
      </c>
      <c r="D101" s="503"/>
      <c r="E101" s="30" t="s">
        <v>117</v>
      </c>
      <c r="K101" s="19"/>
      <c r="L101" s="20"/>
      <c r="M101" s="409" t="s">
        <v>171</v>
      </c>
      <c r="N101" s="507">
        <f>N100-SUM(J71:J73)</f>
        <v>785</v>
      </c>
      <c r="O101" s="402"/>
      <c r="P101" s="500"/>
      <c r="Q101" s="19"/>
      <c r="R101" s="20"/>
      <c r="S101" s="409" t="s">
        <v>171</v>
      </c>
      <c r="T101" s="507">
        <f>T100-SUM(J71:J73)</f>
        <v>785</v>
      </c>
      <c r="U101" s="402"/>
      <c r="V101" s="500"/>
      <c r="X101" s="1"/>
      <c r="Y101" s="1"/>
    </row>
    <row r="102" spans="1:25" ht="15.75" hidden="1">
      <c r="A102" s="446"/>
      <c r="B102" s="497"/>
      <c r="C102" s="498" t="s">
        <v>172</v>
      </c>
      <c r="D102" s="503"/>
      <c r="E102" s="30" t="s">
        <v>117</v>
      </c>
      <c r="K102" s="19"/>
      <c r="L102" s="20"/>
      <c r="M102" s="409" t="s">
        <v>173</v>
      </c>
      <c r="N102" s="507">
        <f>Bus_Mass_CBE+SUM(J21:J27)+J79/(1+K60)</f>
        <v>295</v>
      </c>
      <c r="O102" s="402"/>
      <c r="P102" s="500"/>
      <c r="Q102" s="19"/>
      <c r="R102" s="20"/>
      <c r="S102" s="409" t="s">
        <v>174</v>
      </c>
      <c r="T102" s="507">
        <f>L67</f>
        <v>347.8</v>
      </c>
      <c r="U102" s="402"/>
      <c r="V102" s="500"/>
      <c r="X102" s="1"/>
      <c r="Y102" s="1"/>
    </row>
    <row r="103" spans="1:25" ht="16.5" hidden="1" thickBot="1">
      <c r="A103" s="446"/>
      <c r="B103" s="497"/>
      <c r="C103" s="498" t="s">
        <v>175</v>
      </c>
      <c r="D103" s="503"/>
      <c r="E103" s="30" t="s">
        <v>117</v>
      </c>
      <c r="K103" s="508"/>
      <c r="L103" s="509"/>
      <c r="M103" s="510" t="s">
        <v>176</v>
      </c>
      <c r="N103" s="511">
        <f>N101-N102</f>
        <v>490</v>
      </c>
      <c r="O103" s="512">
        <f>IF(N101&gt;0,N103/N101,"n/a")</f>
        <v>0.6242038216560509</v>
      </c>
      <c r="P103" s="513" t="s">
        <v>177</v>
      </c>
      <c r="Q103" s="508"/>
      <c r="R103" s="509"/>
      <c r="S103" s="510" t="s">
        <v>178</v>
      </c>
      <c r="T103" s="511">
        <f>T101-T102</f>
        <v>437.2</v>
      </c>
      <c r="U103" s="512">
        <f>IF(T101&gt;0,T103/T102,"n/a")</f>
        <v>1.257044278320874</v>
      </c>
      <c r="V103" s="513" t="s">
        <v>179</v>
      </c>
      <c r="X103" s="1"/>
      <c r="Y103" s="1"/>
    </row>
    <row r="104" spans="1:15" ht="16.5" hidden="1" thickBot="1">
      <c r="A104" s="446"/>
      <c r="B104" s="514"/>
      <c r="C104" s="515" t="s">
        <v>180</v>
      </c>
      <c r="D104" s="516"/>
      <c r="E104" s="64" t="s">
        <v>117</v>
      </c>
      <c r="M104" s="446"/>
      <c r="N104" s="446"/>
      <c r="O104" s="446"/>
    </row>
    <row r="105" spans="1:15" ht="16.5" hidden="1" thickBot="1">
      <c r="A105" s="446"/>
      <c r="B105" s="446"/>
      <c r="M105" s="446"/>
      <c r="N105" s="446"/>
      <c r="O105" s="446"/>
    </row>
    <row r="106" spans="2:28" ht="16.5" hidden="1" thickBot="1">
      <c r="B106" s="517" t="s">
        <v>181</v>
      </c>
      <c r="C106" s="131"/>
      <c r="D106" s="131"/>
      <c r="E106" s="131"/>
      <c r="F106" s="131"/>
      <c r="G106" s="131"/>
      <c r="H106" s="131"/>
      <c r="I106" s="131"/>
      <c r="J106" s="131"/>
      <c r="K106" s="131"/>
      <c r="L106" s="131"/>
      <c r="M106" s="518"/>
      <c r="N106" s="518"/>
      <c r="O106" s="518"/>
      <c r="P106" s="131"/>
      <c r="Q106" s="131"/>
      <c r="R106" s="131"/>
      <c r="S106" s="131"/>
      <c r="T106" s="131"/>
      <c r="U106" s="131"/>
      <c r="V106" s="131"/>
      <c r="W106" s="131"/>
      <c r="Z106" s="131"/>
      <c r="AA106" s="131"/>
      <c r="AB106" s="519"/>
    </row>
    <row r="107" spans="1:15" ht="15.75" hidden="1">
      <c r="A107" s="446"/>
      <c r="B107" s="446"/>
      <c r="M107" s="446"/>
      <c r="N107" s="446"/>
      <c r="O107" s="446"/>
    </row>
    <row r="108" spans="1:22" ht="15.75" hidden="1">
      <c r="A108" s="446"/>
      <c r="B108" s="446"/>
      <c r="J108" s="520" t="s">
        <v>182</v>
      </c>
      <c r="K108" s="521" t="s">
        <v>49</v>
      </c>
      <c r="L108" s="522" t="s">
        <v>183</v>
      </c>
      <c r="M108" s="523" t="s">
        <v>184</v>
      </c>
      <c r="N108" s="524" t="s">
        <v>134</v>
      </c>
      <c r="O108" s="525" t="s">
        <v>185</v>
      </c>
      <c r="Q108" s="526" t="s">
        <v>186</v>
      </c>
      <c r="T108" s="527" t="s">
        <v>182</v>
      </c>
      <c r="U108" s="527" t="s">
        <v>49</v>
      </c>
      <c r="V108" s="527" t="s">
        <v>183</v>
      </c>
    </row>
    <row r="109" spans="1:23" ht="15.75" hidden="1">
      <c r="A109" s="446"/>
      <c r="B109" s="528" t="s">
        <v>187</v>
      </c>
      <c r="C109" s="529"/>
      <c r="D109" s="529"/>
      <c r="E109" s="529"/>
      <c r="F109" s="529"/>
      <c r="G109" s="529"/>
      <c r="H109" s="529"/>
      <c r="I109" s="529"/>
      <c r="J109" s="530">
        <f>J88</f>
        <v>0</v>
      </c>
      <c r="K109" s="531">
        <f>IF(J109&gt;0,L109/J109-J109,0)</f>
        <v>0</v>
      </c>
      <c r="L109" s="532">
        <f>J91</f>
        <v>0</v>
      </c>
      <c r="M109" s="533">
        <f>SUM(J92:J95)</f>
        <v>0</v>
      </c>
      <c r="N109" s="534">
        <f aca="true" t="shared" si="26" ref="N109:N120">M109+L109</f>
        <v>0</v>
      </c>
      <c r="O109" s="535">
        <f>N109</f>
        <v>0</v>
      </c>
      <c r="P109" s="1" t="s">
        <v>117</v>
      </c>
      <c r="Q109" s="536" t="s">
        <v>188</v>
      </c>
      <c r="R109" s="537"/>
      <c r="S109" s="538"/>
      <c r="T109" s="539"/>
      <c r="U109" s="540"/>
      <c r="V109" s="539"/>
      <c r="W109" s="541" t="s">
        <v>117</v>
      </c>
    </row>
    <row r="110" spans="1:23" ht="21.75" customHeight="1" hidden="1">
      <c r="A110" s="446"/>
      <c r="B110" s="542" t="s">
        <v>189</v>
      </c>
      <c r="C110" s="543"/>
      <c r="D110" s="543"/>
      <c r="E110" s="543"/>
      <c r="F110" s="543"/>
      <c r="G110" s="543"/>
      <c r="H110" s="543"/>
      <c r="I110" s="543"/>
      <c r="J110" s="544">
        <f>SUM(J111:J112)</f>
        <v>0</v>
      </c>
      <c r="K110" s="545">
        <f>IF(J110&lt;=0,0,L110/J110-1)</f>
        <v>0</v>
      </c>
      <c r="L110" s="546">
        <f>SUM(L111:L112)</f>
        <v>0</v>
      </c>
      <c r="M110" s="547"/>
      <c r="N110" s="548">
        <f t="shared" si="26"/>
        <v>0</v>
      </c>
      <c r="O110" s="549">
        <f aca="true" t="shared" si="27" ref="O110:O120">O109-N110</f>
        <v>0</v>
      </c>
      <c r="P110" s="1" t="s">
        <v>117</v>
      </c>
      <c r="Q110" s="550" t="s">
        <v>190</v>
      </c>
      <c r="R110" s="551"/>
      <c r="S110" s="552"/>
      <c r="T110" s="553"/>
      <c r="U110" s="554"/>
      <c r="V110" s="553"/>
      <c r="W110" s="555" t="s">
        <v>117</v>
      </c>
    </row>
    <row r="111" spans="1:23" ht="15.75" hidden="1">
      <c r="A111" s="446"/>
      <c r="B111" s="542" t="s">
        <v>191</v>
      </c>
      <c r="C111" s="543"/>
      <c r="D111" s="551" t="s">
        <v>192</v>
      </c>
      <c r="E111" s="551"/>
      <c r="F111" s="543"/>
      <c r="G111" s="543"/>
      <c r="H111" s="543"/>
      <c r="I111" s="543"/>
      <c r="J111" s="556">
        <f aca="true" t="shared" si="28" ref="J111:J120">IF($D111="",0,INDEX(T$109:T$120,MATCH($D111,list_JettisonElts,0)))</f>
        <v>0</v>
      </c>
      <c r="K111" s="557">
        <f aca="true" t="shared" si="29" ref="K111:K120">IF($D111="",0,INDEX(U$109:U$120,MATCH($D111,list_JettisonElts,0)))</f>
        <v>0</v>
      </c>
      <c r="L111" s="558">
        <f aca="true" t="shared" si="30" ref="L111:L120">IF($D111="",0,INDEX(V$109:V$120,MATCH($D111,list_JettisonElts,0)))</f>
        <v>0</v>
      </c>
      <c r="M111" s="547"/>
      <c r="N111" s="548">
        <f t="shared" si="26"/>
        <v>0</v>
      </c>
      <c r="O111" s="549">
        <f t="shared" si="27"/>
        <v>0</v>
      </c>
      <c r="P111" s="1" t="s">
        <v>117</v>
      </c>
      <c r="Q111" s="550" t="s">
        <v>192</v>
      </c>
      <c r="R111" s="551"/>
      <c r="S111" s="552"/>
      <c r="T111" s="553"/>
      <c r="U111" s="554"/>
      <c r="V111" s="553"/>
      <c r="W111" s="555" t="s">
        <v>117</v>
      </c>
    </row>
    <row r="112" spans="1:23" ht="15.75" hidden="1">
      <c r="A112" s="446"/>
      <c r="B112" s="542" t="s">
        <v>193</v>
      </c>
      <c r="C112" s="543"/>
      <c r="D112" s="551" t="s">
        <v>194</v>
      </c>
      <c r="E112" s="551"/>
      <c r="F112" s="543"/>
      <c r="G112" s="543"/>
      <c r="H112" s="543"/>
      <c r="I112" s="543"/>
      <c r="J112" s="556">
        <f t="shared" si="28"/>
        <v>0</v>
      </c>
      <c r="K112" s="557">
        <f t="shared" si="29"/>
        <v>0</v>
      </c>
      <c r="L112" s="558">
        <f t="shared" si="30"/>
        <v>0</v>
      </c>
      <c r="M112" s="547"/>
      <c r="N112" s="548">
        <f t="shared" si="26"/>
        <v>0</v>
      </c>
      <c r="O112" s="549">
        <f t="shared" si="27"/>
        <v>0</v>
      </c>
      <c r="P112" s="1" t="s">
        <v>117</v>
      </c>
      <c r="Q112" s="550" t="s">
        <v>194</v>
      </c>
      <c r="R112" s="551"/>
      <c r="S112" s="552"/>
      <c r="T112" s="553"/>
      <c r="U112" s="554"/>
      <c r="V112" s="553"/>
      <c r="W112" s="555" t="s">
        <v>117</v>
      </c>
    </row>
    <row r="113" spans="1:23" ht="15.75" hidden="1">
      <c r="A113" s="446"/>
      <c r="B113" s="542" t="s">
        <v>195</v>
      </c>
      <c r="C113" s="543"/>
      <c r="D113" s="551" t="s">
        <v>196</v>
      </c>
      <c r="E113" s="551"/>
      <c r="F113" s="543"/>
      <c r="G113" s="543"/>
      <c r="H113" s="543"/>
      <c r="I113" s="543"/>
      <c r="J113" s="556">
        <f t="shared" si="28"/>
        <v>0</v>
      </c>
      <c r="K113" s="557">
        <f t="shared" si="29"/>
        <v>0</v>
      </c>
      <c r="L113" s="558">
        <f t="shared" si="30"/>
        <v>0</v>
      </c>
      <c r="M113" s="547"/>
      <c r="N113" s="548">
        <f t="shared" si="26"/>
        <v>0</v>
      </c>
      <c r="O113" s="549">
        <f t="shared" si="27"/>
        <v>0</v>
      </c>
      <c r="P113" s="1" t="s">
        <v>117</v>
      </c>
      <c r="Q113" s="550" t="s">
        <v>196</v>
      </c>
      <c r="R113" s="551"/>
      <c r="S113" s="552"/>
      <c r="T113" s="553"/>
      <c r="U113" s="554"/>
      <c r="V113" s="553"/>
      <c r="W113" s="555" t="s">
        <v>117</v>
      </c>
    </row>
    <row r="114" spans="1:23" ht="15.75" hidden="1">
      <c r="A114" s="446"/>
      <c r="B114" s="542" t="s">
        <v>197</v>
      </c>
      <c r="C114" s="543"/>
      <c r="D114" s="551" t="s">
        <v>198</v>
      </c>
      <c r="E114" s="551"/>
      <c r="F114" s="543"/>
      <c r="G114" s="543"/>
      <c r="H114" s="543"/>
      <c r="I114" s="543"/>
      <c r="J114" s="556">
        <f t="shared" si="28"/>
        <v>0</v>
      </c>
      <c r="K114" s="557">
        <f t="shared" si="29"/>
        <v>0</v>
      </c>
      <c r="L114" s="558">
        <f t="shared" si="30"/>
        <v>0</v>
      </c>
      <c r="M114" s="547"/>
      <c r="N114" s="548">
        <f t="shared" si="26"/>
        <v>0</v>
      </c>
      <c r="O114" s="549">
        <f t="shared" si="27"/>
        <v>0</v>
      </c>
      <c r="P114" s="1" t="s">
        <v>117</v>
      </c>
      <c r="Q114" s="550" t="s">
        <v>198</v>
      </c>
      <c r="R114" s="551"/>
      <c r="S114" s="552"/>
      <c r="T114" s="553"/>
      <c r="U114" s="554"/>
      <c r="V114" s="553"/>
      <c r="W114" s="555" t="s">
        <v>117</v>
      </c>
    </row>
    <row r="115" spans="1:23" ht="15.75" hidden="1">
      <c r="A115" s="446"/>
      <c r="B115" s="542" t="s">
        <v>199</v>
      </c>
      <c r="C115" s="543"/>
      <c r="D115" s="736" t="s">
        <v>188</v>
      </c>
      <c r="E115" s="736"/>
      <c r="F115" s="543"/>
      <c r="G115" s="543"/>
      <c r="H115" s="543"/>
      <c r="I115" s="543"/>
      <c r="J115" s="556">
        <f t="shared" si="28"/>
        <v>0</v>
      </c>
      <c r="K115" s="557">
        <f t="shared" si="29"/>
        <v>0</v>
      </c>
      <c r="L115" s="558">
        <f t="shared" si="30"/>
        <v>0</v>
      </c>
      <c r="M115" s="547"/>
      <c r="N115" s="548">
        <f t="shared" si="26"/>
        <v>0</v>
      </c>
      <c r="O115" s="549">
        <f t="shared" si="27"/>
        <v>0</v>
      </c>
      <c r="P115" s="1" t="s">
        <v>117</v>
      </c>
      <c r="Q115" s="550" t="s">
        <v>200</v>
      </c>
      <c r="R115" s="551"/>
      <c r="S115" s="552"/>
      <c r="T115" s="553"/>
      <c r="U115" s="554"/>
      <c r="V115" s="553"/>
      <c r="W115" s="555" t="s">
        <v>117</v>
      </c>
    </row>
    <row r="116" spans="1:23" ht="15.75" hidden="1">
      <c r="A116" s="446"/>
      <c r="B116" s="542" t="s">
        <v>201</v>
      </c>
      <c r="C116" s="543"/>
      <c r="D116" s="736" t="s">
        <v>200</v>
      </c>
      <c r="E116" s="736"/>
      <c r="F116" s="543"/>
      <c r="G116" s="543"/>
      <c r="H116" s="543"/>
      <c r="I116" s="543"/>
      <c r="J116" s="556">
        <f t="shared" si="28"/>
        <v>0</v>
      </c>
      <c r="K116" s="557">
        <f t="shared" si="29"/>
        <v>0</v>
      </c>
      <c r="L116" s="558">
        <f t="shared" si="30"/>
        <v>0</v>
      </c>
      <c r="M116" s="547"/>
      <c r="N116" s="548">
        <f t="shared" si="26"/>
        <v>0</v>
      </c>
      <c r="O116" s="549">
        <f t="shared" si="27"/>
        <v>0</v>
      </c>
      <c r="P116" s="1" t="s">
        <v>117</v>
      </c>
      <c r="Q116" s="559" t="s">
        <v>202</v>
      </c>
      <c r="R116" s="560"/>
      <c r="S116" s="561"/>
      <c r="T116" s="562"/>
      <c r="U116" s="563"/>
      <c r="V116" s="562"/>
      <c r="W116" s="555" t="s">
        <v>117</v>
      </c>
    </row>
    <row r="117" spans="1:23" ht="15.75" hidden="1">
      <c r="A117" s="446"/>
      <c r="B117" s="542" t="s">
        <v>203</v>
      </c>
      <c r="C117" s="543"/>
      <c r="D117" s="736" t="s">
        <v>190</v>
      </c>
      <c r="E117" s="736"/>
      <c r="F117" s="543"/>
      <c r="G117" s="543"/>
      <c r="H117" s="543"/>
      <c r="I117" s="543"/>
      <c r="J117" s="556">
        <f t="shared" si="28"/>
        <v>0</v>
      </c>
      <c r="K117" s="557">
        <f t="shared" si="29"/>
        <v>0</v>
      </c>
      <c r="L117" s="558">
        <f t="shared" si="30"/>
        <v>0</v>
      </c>
      <c r="M117" s="547"/>
      <c r="N117" s="548">
        <f t="shared" si="26"/>
        <v>0</v>
      </c>
      <c r="O117" s="549">
        <f t="shared" si="27"/>
        <v>0</v>
      </c>
      <c r="P117" s="1" t="s">
        <v>117</v>
      </c>
      <c r="Q117" s="559" t="s">
        <v>204</v>
      </c>
      <c r="R117" s="560"/>
      <c r="S117" s="561"/>
      <c r="T117" s="562"/>
      <c r="U117" s="563"/>
      <c r="V117" s="562"/>
      <c r="W117" s="555" t="s">
        <v>117</v>
      </c>
    </row>
    <row r="118" spans="1:23" ht="15.75" hidden="1">
      <c r="A118" s="446"/>
      <c r="B118" s="542" t="s">
        <v>205</v>
      </c>
      <c r="C118" s="543"/>
      <c r="D118" s="736"/>
      <c r="E118" s="736"/>
      <c r="F118" s="543"/>
      <c r="G118" s="543"/>
      <c r="H118" s="543"/>
      <c r="I118" s="543"/>
      <c r="J118" s="556">
        <f t="shared" si="28"/>
        <v>0</v>
      </c>
      <c r="K118" s="557">
        <f t="shared" si="29"/>
        <v>0</v>
      </c>
      <c r="L118" s="558">
        <f t="shared" si="30"/>
        <v>0</v>
      </c>
      <c r="M118" s="547"/>
      <c r="N118" s="548">
        <f t="shared" si="26"/>
        <v>0</v>
      </c>
      <c r="O118" s="549">
        <f t="shared" si="27"/>
        <v>0</v>
      </c>
      <c r="P118" s="1" t="s">
        <v>117</v>
      </c>
      <c r="Q118" s="559" t="s">
        <v>206</v>
      </c>
      <c r="R118" s="560"/>
      <c r="S118" s="561"/>
      <c r="T118" s="562"/>
      <c r="U118" s="563"/>
      <c r="V118" s="562"/>
      <c r="W118" s="555" t="s">
        <v>117</v>
      </c>
    </row>
    <row r="119" spans="1:23" ht="15.75" hidden="1">
      <c r="A119" s="446"/>
      <c r="B119" s="542" t="s">
        <v>207</v>
      </c>
      <c r="C119" s="543"/>
      <c r="D119" s="736"/>
      <c r="E119" s="736"/>
      <c r="F119" s="543"/>
      <c r="G119" s="543"/>
      <c r="H119" s="543"/>
      <c r="I119" s="543"/>
      <c r="J119" s="556">
        <f t="shared" si="28"/>
        <v>0</v>
      </c>
      <c r="K119" s="557">
        <f t="shared" si="29"/>
        <v>0</v>
      </c>
      <c r="L119" s="558">
        <f t="shared" si="30"/>
        <v>0</v>
      </c>
      <c r="M119" s="547"/>
      <c r="N119" s="548">
        <f t="shared" si="26"/>
        <v>0</v>
      </c>
      <c r="O119" s="549">
        <f t="shared" si="27"/>
        <v>0</v>
      </c>
      <c r="P119" s="1" t="s">
        <v>117</v>
      </c>
      <c r="Q119" s="559" t="s">
        <v>208</v>
      </c>
      <c r="R119" s="560"/>
      <c r="S119" s="561"/>
      <c r="T119" s="562"/>
      <c r="U119" s="563"/>
      <c r="V119" s="562"/>
      <c r="W119" s="555" t="s">
        <v>117</v>
      </c>
    </row>
    <row r="120" spans="1:23" ht="15.75" hidden="1">
      <c r="A120" s="446"/>
      <c r="B120" s="542" t="s">
        <v>209</v>
      </c>
      <c r="C120" s="543"/>
      <c r="D120" s="736"/>
      <c r="E120" s="736"/>
      <c r="F120" s="543"/>
      <c r="G120" s="543"/>
      <c r="H120" s="543"/>
      <c r="I120" s="543"/>
      <c r="J120" s="556">
        <f t="shared" si="28"/>
        <v>0</v>
      </c>
      <c r="K120" s="557">
        <f t="shared" si="29"/>
        <v>0</v>
      </c>
      <c r="L120" s="558">
        <f t="shared" si="30"/>
        <v>0</v>
      </c>
      <c r="M120" s="547"/>
      <c r="N120" s="548">
        <f t="shared" si="26"/>
        <v>0</v>
      </c>
      <c r="O120" s="549">
        <f t="shared" si="27"/>
        <v>0</v>
      </c>
      <c r="P120" s="1" t="s">
        <v>117</v>
      </c>
      <c r="Q120" s="564" t="s">
        <v>210</v>
      </c>
      <c r="R120" s="565"/>
      <c r="S120" s="566"/>
      <c r="T120" s="567"/>
      <c r="U120" s="568"/>
      <c r="V120" s="567"/>
      <c r="W120" s="569" t="s">
        <v>117</v>
      </c>
    </row>
    <row r="121" spans="1:15" ht="16.5" hidden="1" thickBot="1">
      <c r="A121" s="446"/>
      <c r="B121" s="446"/>
      <c r="M121" s="446"/>
      <c r="N121" s="446"/>
      <c r="O121" s="446"/>
    </row>
    <row r="122" spans="2:28" ht="16.5" hidden="1" thickBot="1">
      <c r="B122" s="517" t="s">
        <v>211</v>
      </c>
      <c r="C122" s="131"/>
      <c r="D122" s="131"/>
      <c r="E122" s="131"/>
      <c r="F122" s="131"/>
      <c r="G122" s="131"/>
      <c r="H122" s="131"/>
      <c r="I122" s="131"/>
      <c r="J122" s="131"/>
      <c r="K122" s="131"/>
      <c r="L122" s="131"/>
      <c r="M122" s="518"/>
      <c r="N122" s="518"/>
      <c r="O122" s="518"/>
      <c r="P122" s="131"/>
      <c r="Q122" s="131"/>
      <c r="R122" s="131"/>
      <c r="S122" s="131"/>
      <c r="T122" s="131"/>
      <c r="U122" s="131"/>
      <c r="V122" s="131"/>
      <c r="W122" s="131"/>
      <c r="Z122" s="131"/>
      <c r="AA122" s="131"/>
      <c r="AB122" s="519"/>
    </row>
    <row r="123" spans="2:17" ht="15.75" hidden="1">
      <c r="B123" s="446"/>
      <c r="C123" s="446"/>
      <c r="D123" s="446"/>
      <c r="E123" s="446"/>
      <c r="F123" s="446"/>
      <c r="G123" s="446"/>
      <c r="H123" s="446"/>
      <c r="I123" s="446"/>
      <c r="J123" s="446"/>
      <c r="K123" s="446"/>
      <c r="L123" s="446"/>
      <c r="M123" s="446"/>
      <c r="N123" s="446"/>
      <c r="O123" s="446"/>
      <c r="P123" s="446"/>
      <c r="Q123" s="446"/>
    </row>
    <row r="124" ht="16.5" hidden="1" thickBot="1"/>
    <row r="125" spans="2:20" ht="15.75" hidden="1">
      <c r="B125" s="570"/>
      <c r="C125" s="37"/>
      <c r="D125" s="37"/>
      <c r="E125" s="571" t="s">
        <v>212</v>
      </c>
      <c r="K125" s="572"/>
      <c r="L125" s="573"/>
      <c r="M125" s="574"/>
      <c r="N125" s="574"/>
      <c r="O125" s="574"/>
      <c r="P125" s="573"/>
      <c r="Q125" s="573"/>
      <c r="R125" s="575"/>
      <c r="T125" s="576"/>
    </row>
    <row r="126" spans="2:20" ht="15.75" hidden="1">
      <c r="B126" s="467"/>
      <c r="C126" s="26"/>
      <c r="D126" s="46" t="s">
        <v>213</v>
      </c>
      <c r="E126" s="577">
        <v>0.1</v>
      </c>
      <c r="K126" s="578"/>
      <c r="L126" s="579"/>
      <c r="M126" s="580" t="s">
        <v>214</v>
      </c>
      <c r="N126" s="580"/>
      <c r="O126" s="581"/>
      <c r="P126" s="579"/>
      <c r="Q126" s="579"/>
      <c r="R126" s="582"/>
      <c r="T126" s="583"/>
    </row>
    <row r="127" spans="2:20" ht="15.75" hidden="1">
      <c r="B127" s="467"/>
      <c r="C127" s="26"/>
      <c r="D127" s="46" t="s">
        <v>215</v>
      </c>
      <c r="E127" s="584">
        <v>0.05</v>
      </c>
      <c r="K127" s="578"/>
      <c r="L127" s="579"/>
      <c r="M127" s="585"/>
      <c r="N127" s="585"/>
      <c r="O127" s="585"/>
      <c r="P127" s="579"/>
      <c r="Q127" s="579"/>
      <c r="R127" s="582"/>
      <c r="T127" s="586"/>
    </row>
    <row r="128" spans="2:20" ht="16.5" hidden="1" thickBot="1">
      <c r="B128" s="478"/>
      <c r="C128" s="65"/>
      <c r="D128" s="60" t="s">
        <v>216</v>
      </c>
      <c r="E128" s="587">
        <v>0.01</v>
      </c>
      <c r="K128" s="578"/>
      <c r="L128" s="579"/>
      <c r="M128" s="588" t="s">
        <v>217</v>
      </c>
      <c r="N128" s="589"/>
      <c r="O128" s="590"/>
      <c r="P128" s="579"/>
      <c r="Q128" s="579"/>
      <c r="R128" s="582"/>
      <c r="T128" s="586"/>
    </row>
    <row r="129" spans="4:18" ht="16.5" hidden="1" thickBot="1">
      <c r="D129" s="591"/>
      <c r="K129" s="592"/>
      <c r="L129" s="579"/>
      <c r="M129" s="593" t="s">
        <v>218</v>
      </c>
      <c r="N129" s="593" t="s">
        <v>219</v>
      </c>
      <c r="O129" s="593" t="s">
        <v>220</v>
      </c>
      <c r="P129" s="579"/>
      <c r="Q129" s="579"/>
      <c r="R129" s="582"/>
    </row>
    <row r="130" spans="2:18" ht="15.75" hidden="1">
      <c r="B130" s="594" t="s">
        <v>221</v>
      </c>
      <c r="C130" s="37"/>
      <c r="D130" s="37"/>
      <c r="E130" s="40"/>
      <c r="K130" s="592" t="s">
        <v>222</v>
      </c>
      <c r="L130" s="585"/>
      <c r="M130" s="595">
        <f>J70</f>
        <v>386.1</v>
      </c>
      <c r="N130" s="596">
        <f>N131-N134-N137-N140</f>
        <v>401.1</v>
      </c>
      <c r="O130" s="596">
        <f>O131-O134-O137-O140</f>
        <v>800</v>
      </c>
      <c r="P130" s="579" t="s">
        <v>223</v>
      </c>
      <c r="Q130" s="585"/>
      <c r="R130" s="597"/>
    </row>
    <row r="131" spans="2:18" ht="15.75" hidden="1">
      <c r="B131" s="467" t="s">
        <v>224</v>
      </c>
      <c r="C131" s="26"/>
      <c r="D131" s="26"/>
      <c r="E131" s="30"/>
      <c r="K131" s="592" t="s">
        <v>225</v>
      </c>
      <c r="L131" s="579"/>
      <c r="M131" s="598">
        <f>M130+M134+M137+M140</f>
        <v>386.1</v>
      </c>
      <c r="N131" s="320">
        <f>J74</f>
        <v>401.1</v>
      </c>
      <c r="O131" s="599">
        <f>J82</f>
        <v>800</v>
      </c>
      <c r="P131" s="579" t="s">
        <v>226</v>
      </c>
      <c r="Q131" s="579"/>
      <c r="R131" s="582"/>
    </row>
    <row r="132" spans="2:18" ht="15.75" hidden="1">
      <c r="B132" s="467" t="s">
        <v>227</v>
      </c>
      <c r="C132" s="26"/>
      <c r="D132" s="26"/>
      <c r="E132" s="30"/>
      <c r="K132" s="592" t="s">
        <v>228</v>
      </c>
      <c r="L132" s="579"/>
      <c r="M132" s="141">
        <f>P71</f>
        <v>0</v>
      </c>
      <c r="N132" s="141">
        <f>M132</f>
        <v>0</v>
      </c>
      <c r="O132" s="354">
        <f>M132</f>
        <v>0</v>
      </c>
      <c r="P132" s="579" t="s">
        <v>229</v>
      </c>
      <c r="Q132" s="579"/>
      <c r="R132" s="582"/>
    </row>
    <row r="133" spans="2:18" ht="15.75" hidden="1">
      <c r="B133" s="467" t="s">
        <v>230</v>
      </c>
      <c r="C133" s="26"/>
      <c r="D133" s="26"/>
      <c r="E133" s="30"/>
      <c r="K133" s="592" t="s">
        <v>231</v>
      </c>
      <c r="L133" s="579"/>
      <c r="M133" s="354">
        <f>'[1]Inputs'!$O$592</f>
        <v>0</v>
      </c>
      <c r="N133" s="354">
        <f>M133</f>
        <v>0</v>
      </c>
      <c r="O133" s="354">
        <f>M133</f>
        <v>0</v>
      </c>
      <c r="P133" s="579" t="s">
        <v>229</v>
      </c>
      <c r="Q133" s="579"/>
      <c r="R133" s="582"/>
    </row>
    <row r="134" spans="2:18" ht="15.75" hidden="1">
      <c r="B134" s="467" t="s">
        <v>232</v>
      </c>
      <c r="C134" s="26"/>
      <c r="D134" s="26"/>
      <c r="E134" s="30"/>
      <c r="K134" s="600" t="s">
        <v>233</v>
      </c>
      <c r="L134" s="579"/>
      <c r="M134" s="406">
        <f>IF(M133&gt;0,M$130*(EXP(M132/M133/9.0866)-1),0)</f>
        <v>0</v>
      </c>
      <c r="N134" s="406">
        <f>IF(N133&gt;0,N$131*(1-EXP(-N132/N133/9.0866)),0)</f>
        <v>0</v>
      </c>
      <c r="O134" s="406">
        <f>IF(O133&gt;0,O$131*(1-EXP(-O132/O133/9.0866)),0)</f>
        <v>0</v>
      </c>
      <c r="P134" s="579" t="s">
        <v>234</v>
      </c>
      <c r="Q134" s="579"/>
      <c r="R134" s="582"/>
    </row>
    <row r="135" spans="2:18" ht="15.75" hidden="1">
      <c r="B135" s="467" t="s">
        <v>235</v>
      </c>
      <c r="C135" s="26"/>
      <c r="D135" s="26"/>
      <c r="E135" s="30"/>
      <c r="K135" s="592" t="s">
        <v>228</v>
      </c>
      <c r="L135" s="579"/>
      <c r="M135" s="141">
        <f>P72</f>
        <v>0</v>
      </c>
      <c r="N135" s="141">
        <f>M135</f>
        <v>0</v>
      </c>
      <c r="O135" s="354">
        <f>M135</f>
        <v>0</v>
      </c>
      <c r="P135" s="579" t="s">
        <v>229</v>
      </c>
      <c r="Q135" s="579"/>
      <c r="R135" s="582"/>
    </row>
    <row r="136" spans="1:18" ht="15.75" hidden="1">
      <c r="A136" s="26"/>
      <c r="B136" s="467" t="s">
        <v>5</v>
      </c>
      <c r="C136" s="26"/>
      <c r="D136" s="26"/>
      <c r="E136" s="30"/>
      <c r="K136" s="592" t="s">
        <v>231</v>
      </c>
      <c r="L136" s="579"/>
      <c r="M136" s="354">
        <f>'[1]Inputs'!$O$593</f>
        <v>0</v>
      </c>
      <c r="N136" s="354">
        <f>M136</f>
        <v>0</v>
      </c>
      <c r="O136" s="354">
        <f>M136</f>
        <v>0</v>
      </c>
      <c r="P136" s="579" t="s">
        <v>229</v>
      </c>
      <c r="Q136" s="579"/>
      <c r="R136" s="582"/>
    </row>
    <row r="137" spans="2:18" ht="15.75" hidden="1">
      <c r="B137" s="467" t="s">
        <v>236</v>
      </c>
      <c r="C137" s="26"/>
      <c r="D137" s="26"/>
      <c r="E137" s="30"/>
      <c r="K137" s="600" t="s">
        <v>237</v>
      </c>
      <c r="L137" s="579"/>
      <c r="M137" s="406">
        <f>IF(M136&gt;0,(M134+M$130)*(EXP(M135/M136/9.0866)-1),0)</f>
        <v>0</v>
      </c>
      <c r="N137" s="406">
        <f>IF(N136&gt;0,N$131*(1-EXP(-N135/N136/9.0866)),0)</f>
        <v>0</v>
      </c>
      <c r="O137" s="406">
        <f>IF(O136&gt;0,O$131*(1-EXP(-O135/O136/9.0866)),0)</f>
        <v>0</v>
      </c>
      <c r="P137" s="579" t="s">
        <v>234</v>
      </c>
      <c r="Q137" s="579"/>
      <c r="R137" s="582"/>
    </row>
    <row r="138" spans="2:18" ht="16.5" hidden="1" thickBot="1">
      <c r="B138" s="478" t="s">
        <v>238</v>
      </c>
      <c r="C138" s="65"/>
      <c r="D138" s="65"/>
      <c r="E138" s="64"/>
      <c r="K138" s="592" t="s">
        <v>228</v>
      </c>
      <c r="L138" s="579"/>
      <c r="M138" s="141">
        <f>P73</f>
        <v>0</v>
      </c>
      <c r="N138" s="141">
        <f>M138</f>
        <v>0</v>
      </c>
      <c r="O138" s="354">
        <f>M138</f>
        <v>0</v>
      </c>
      <c r="P138" s="579" t="s">
        <v>229</v>
      </c>
      <c r="Q138" s="579"/>
      <c r="R138" s="582"/>
    </row>
    <row r="139" spans="11:18" ht="15.75" hidden="1">
      <c r="K139" s="592" t="s">
        <v>231</v>
      </c>
      <c r="L139" s="579"/>
      <c r="M139" s="354">
        <f>'[1]Inputs'!$O$594</f>
        <v>0</v>
      </c>
      <c r="N139" s="354">
        <f>M139</f>
        <v>0</v>
      </c>
      <c r="O139" s="354">
        <f>M139</f>
        <v>0</v>
      </c>
      <c r="P139" s="579" t="s">
        <v>229</v>
      </c>
      <c r="Q139" s="579"/>
      <c r="R139" s="582"/>
    </row>
    <row r="140" spans="1:25" s="26" customFormat="1" ht="15.75" hidden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600" t="s">
        <v>239</v>
      </c>
      <c r="L140" s="579"/>
      <c r="M140" s="406">
        <f>IF(M139&gt;0,(M137+M$130)*(EXP(M138/M139/9.0866)-1),0)</f>
        <v>0</v>
      </c>
      <c r="N140" s="406">
        <f>IF(N139&gt;0,N$131*(1-EXP(-N138/N139/9.0866)),0)</f>
        <v>0</v>
      </c>
      <c r="O140" s="406">
        <f>IF(O139&gt;0,O$131*(1-EXP(-O138/O139/9.0866)),0)</f>
        <v>0</v>
      </c>
      <c r="P140" s="579" t="s">
        <v>234</v>
      </c>
      <c r="Q140" s="579"/>
      <c r="R140" s="582"/>
      <c r="X140"/>
      <c r="Y140"/>
    </row>
    <row r="141" spans="11:18" ht="16.5" hidden="1" thickBot="1">
      <c r="K141" s="601"/>
      <c r="L141" s="602"/>
      <c r="M141" s="602"/>
      <c r="N141" s="602"/>
      <c r="O141" s="602"/>
      <c r="P141" s="602"/>
      <c r="Q141" s="602"/>
      <c r="R141" s="603"/>
    </row>
    <row r="142" ht="15.75" hidden="1"/>
    <row r="143" ht="15.75" hidden="1"/>
    <row r="144" ht="15.75" hidden="1">
      <c r="Q144" s="26"/>
    </row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221" ht="15.75"/>
    <row r="231" ht="15.75"/>
    <row r="232" ht="15.75"/>
    <row r="233" ht="15.75"/>
    <row r="234" ht="15.75"/>
    <row r="238" ht="15.75"/>
    <row r="239" ht="15.75"/>
    <row r="240" ht="15.75"/>
    <row r="241" ht="15.75"/>
  </sheetData>
  <sheetProtection/>
  <mergeCells count="15">
    <mergeCell ref="D120:E120"/>
    <mergeCell ref="D116:E116"/>
    <mergeCell ref="D117:E117"/>
    <mergeCell ref="D118:E118"/>
    <mergeCell ref="D119:E119"/>
    <mergeCell ref="O5:S5"/>
    <mergeCell ref="C5:D5"/>
    <mergeCell ref="Z15:Z17"/>
    <mergeCell ref="D115:E115"/>
    <mergeCell ref="N94:Q94"/>
    <mergeCell ref="N88:O88"/>
    <mergeCell ref="P88:Q88"/>
    <mergeCell ref="L98:P98"/>
    <mergeCell ref="R98:V98"/>
    <mergeCell ref="K85:L85"/>
  </mergeCells>
  <conditionalFormatting sqref="M71:M73 P71:P73 M69:V70 J79:J80 J67:J74 M63:V65 L67:V67 T71:T73 J76 J30:K35 L65 J39:J52 M39 N41:V41 K39:K48 K54:K64 N49:V51 M41:M52 J54:J65 M54:V60 J21:K21 M21:V21">
    <cfRule type="expression" priority="1" dxfId="0" stopIfTrue="1">
      <formula>AU21&lt;&gt;""</formula>
    </cfRule>
  </conditionalFormatting>
  <conditionalFormatting sqref="L96">
    <cfRule type="expression" priority="2" dxfId="1" stopIfTrue="1">
      <formula>$N$94="Minimum Total"</formula>
    </cfRule>
  </conditionalFormatting>
  <conditionalFormatting sqref="N95">
    <cfRule type="expression" priority="3" dxfId="2" stopIfTrue="1">
      <formula>$N$94&lt;&gt;"Apply Total System-Level"</formula>
    </cfRule>
  </conditionalFormatting>
  <conditionalFormatting sqref="M96:N96 P96:Q96">
    <cfRule type="expression" priority="4" dxfId="1" stopIfTrue="1">
      <formula>$N$94="Apply Total System-Level"</formula>
    </cfRule>
  </conditionalFormatting>
  <conditionalFormatting sqref="R84:V84">
    <cfRule type="cellIs" priority="5" dxfId="3" operator="equal" stopIfTrue="1">
      <formula>"?"</formula>
    </cfRule>
  </conditionalFormatting>
  <conditionalFormatting sqref="Q84">
    <cfRule type="cellIs" priority="6" dxfId="4" operator="equal" stopIfTrue="1">
      <formula>"?"</formula>
    </cfRule>
  </conditionalFormatting>
  <conditionalFormatting sqref="Z78:Z80 Z54:Z75 Z39:Z52 Z21:Z28 Z30:Z37">
    <cfRule type="expression" priority="7" dxfId="5" stopIfTrue="1">
      <formula>AND(ABS($Z21)&gt;$E$126,ABS($Z21)&lt;=$E$125)</formula>
    </cfRule>
    <cfRule type="expression" priority="8" dxfId="6" stopIfTrue="1">
      <formula>AND(ABS($Z21)&gt;$E$125,ABS($Z21)&lt;=$E$124)</formula>
    </cfRule>
    <cfRule type="expression" priority="9" dxfId="7" stopIfTrue="1">
      <formula>AND(ABS($Z21)&gt;$E$124)</formula>
    </cfRule>
  </conditionalFormatting>
  <conditionalFormatting sqref="AB71 AB62:AB64 AB54:AB60 AB39:AB52">
    <cfRule type="cellIs" priority="10" dxfId="7" operator="lessThan" stopIfTrue="1">
      <formula>$K$5</formula>
    </cfRule>
  </conditionalFormatting>
  <conditionalFormatting sqref="Z76">
    <cfRule type="cellIs" priority="11" dxfId="7" operator="notBetween" stopIfTrue="1">
      <formula>-$E$126</formula>
      <formula>$E$126</formula>
    </cfRule>
    <cfRule type="cellIs" priority="12" dxfId="6" operator="notBetween" stopIfTrue="1">
      <formula>-$E$127</formula>
      <formula>$E$127</formula>
    </cfRule>
    <cfRule type="cellIs" priority="13" dxfId="5" operator="notBetween" stopIfTrue="1">
      <formula>-$E$128</formula>
      <formula>$E$128</formula>
    </cfRule>
  </conditionalFormatting>
  <conditionalFormatting sqref="W54:W64 W39:W52 W21:W28 W30:W37">
    <cfRule type="cellIs" priority="14" dxfId="4" operator="equal" stopIfTrue="1">
      <formula>0</formula>
    </cfRule>
  </conditionalFormatting>
  <conditionalFormatting sqref="AB21">
    <cfRule type="cellIs" priority="15" dxfId="7" operator="greaterThan" stopIfTrue="1">
      <formula>$K$5</formula>
    </cfRule>
  </conditionalFormatting>
  <conditionalFormatting sqref="K84">
    <cfRule type="cellIs" priority="16" dxfId="8" operator="lessThan" stopIfTrue="1">
      <formula>0</formula>
    </cfRule>
  </conditionalFormatting>
  <dataValidations count="3">
    <dataValidation type="list" allowBlank="1" showInputMessage="1" showErrorMessage="1" sqref="N94">
      <formula1>"Apply Total System-Level, Subsystem+Incremental System-Level"</formula1>
    </dataValidation>
    <dataValidation type="list" allowBlank="1" showInputMessage="1" showErrorMessage="1" sqref="D111:E120">
      <formula1>list_JettisonElts</formula1>
    </dataValidation>
    <dataValidation type="list" allowBlank="1" showInputMessage="1" showErrorMessage="1" sqref="O5">
      <formula1>list_studylevel</formula1>
    </dataValidation>
  </dataValidations>
  <printOptions horizontalCentered="1"/>
  <pageMargins left="0.75" right="0.75" top="0.75" bottom="0.5" header="0.5" footer="0.5"/>
  <pageSetup blackAndWhite="1" fitToHeight="1" fitToWidth="1" orientation="portrait" scale="42" r:id="rId3"/>
  <headerFooter alignWithMargins="0">
    <oddHeader>&amp;C&amp;"Helvetica,Bold"&amp;12&amp;F</oddHeader>
    <oddFooter>&amp;LAdvanced Projects Design Team&amp;CJPL&amp;RDRAFT -- &amp;D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B3:S21"/>
  <sheetViews>
    <sheetView showGridLines="0" workbookViewId="0" topLeftCell="A1">
      <selection activeCell="J24" sqref="J24"/>
    </sheetView>
  </sheetViews>
  <sheetFormatPr defaultColWidth="9.140625" defaultRowHeight="12.75"/>
  <cols>
    <col min="2" max="2" width="30.57421875" style="0" customWidth="1"/>
    <col min="3" max="3" width="11.421875" style="0" customWidth="1"/>
    <col min="4" max="7" width="15.7109375" style="0" customWidth="1"/>
    <col min="14" max="19" width="15.7109375" style="0" customWidth="1"/>
  </cols>
  <sheetData>
    <row r="2" ht="13.5" thickBot="1"/>
    <row r="3" spans="2:19" ht="13.5" thickBot="1">
      <c r="B3" s="635"/>
      <c r="C3" s="636"/>
      <c r="D3" s="637" t="s">
        <v>271</v>
      </c>
      <c r="E3" s="638" t="s">
        <v>272</v>
      </c>
      <c r="F3" s="638" t="s">
        <v>273</v>
      </c>
      <c r="G3" s="639" t="s">
        <v>274</v>
      </c>
      <c r="L3" t="s">
        <v>275</v>
      </c>
      <c r="M3" t="s">
        <v>275</v>
      </c>
      <c r="N3" t="s">
        <v>276</v>
      </c>
      <c r="O3" t="s">
        <v>277</v>
      </c>
      <c r="P3" t="s">
        <v>275</v>
      </c>
      <c r="Q3" t="s">
        <v>275</v>
      </c>
      <c r="R3" t="s">
        <v>275</v>
      </c>
      <c r="S3" t="s">
        <v>278</v>
      </c>
    </row>
    <row r="4" spans="2:19" ht="12.75">
      <c r="B4" s="640" t="s">
        <v>279</v>
      </c>
      <c r="C4" s="641" t="s">
        <v>280</v>
      </c>
      <c r="D4" s="642">
        <v>50</v>
      </c>
      <c r="E4" s="643">
        <v>66</v>
      </c>
      <c r="F4" s="643">
        <v>730</v>
      </c>
      <c r="G4" s="644">
        <v>650</v>
      </c>
      <c r="L4">
        <v>25</v>
      </c>
      <c r="M4">
        <v>10</v>
      </c>
      <c r="N4">
        <v>100</v>
      </c>
      <c r="O4" t="s">
        <v>281</v>
      </c>
      <c r="P4" t="s">
        <v>282</v>
      </c>
      <c r="Q4">
        <v>327.4</v>
      </c>
      <c r="R4">
        <v>550</v>
      </c>
      <c r="S4">
        <v>86</v>
      </c>
    </row>
    <row r="5" spans="2:19" ht="12.75">
      <c r="B5" s="645" t="s">
        <v>283</v>
      </c>
      <c r="C5" s="646" t="s">
        <v>117</v>
      </c>
      <c r="D5" s="647">
        <v>70</v>
      </c>
      <c r="E5" s="648">
        <v>200</v>
      </c>
      <c r="F5" s="648">
        <v>380</v>
      </c>
      <c r="G5" s="649">
        <v>650</v>
      </c>
      <c r="L5">
        <v>25</v>
      </c>
      <c r="M5">
        <v>20</v>
      </c>
      <c r="N5">
        <v>100</v>
      </c>
      <c r="O5">
        <v>90</v>
      </c>
      <c r="P5">
        <v>238</v>
      </c>
      <c r="Q5">
        <v>780.1</v>
      </c>
      <c r="R5">
        <v>200</v>
      </c>
      <c r="S5" t="s">
        <v>284</v>
      </c>
    </row>
    <row r="6" spans="2:19" ht="12.75">
      <c r="B6" s="645" t="s">
        <v>285</v>
      </c>
      <c r="C6" s="646" t="s">
        <v>117</v>
      </c>
      <c r="D6" s="647">
        <v>60</v>
      </c>
      <c r="E6" s="648">
        <v>125</v>
      </c>
      <c r="F6" s="648">
        <v>600</v>
      </c>
      <c r="G6" s="649">
        <v>350</v>
      </c>
      <c r="L6">
        <v>100</v>
      </c>
      <c r="M6">
        <v>52.7</v>
      </c>
      <c r="N6">
        <v>380</v>
      </c>
      <c r="O6">
        <v>203</v>
      </c>
      <c r="P6">
        <v>166</v>
      </c>
      <c r="Q6">
        <v>580</v>
      </c>
      <c r="R6">
        <v>566.3</v>
      </c>
      <c r="S6">
        <v>90</v>
      </c>
    </row>
    <row r="7" spans="2:19" ht="12.75">
      <c r="B7" s="645" t="s">
        <v>286</v>
      </c>
      <c r="C7" s="646" t="s">
        <v>32</v>
      </c>
      <c r="D7" s="647">
        <v>2000</v>
      </c>
      <c r="E7" s="648">
        <v>2500</v>
      </c>
      <c r="F7" s="648">
        <v>320000</v>
      </c>
      <c r="G7" s="650">
        <v>80000</v>
      </c>
      <c r="L7">
        <v>115.2</v>
      </c>
      <c r="M7" t="s">
        <v>287</v>
      </c>
      <c r="N7">
        <v>1000</v>
      </c>
      <c r="O7" t="s">
        <v>288</v>
      </c>
      <c r="P7">
        <v>2000</v>
      </c>
      <c r="Q7">
        <v>1024</v>
      </c>
      <c r="R7">
        <v>1000</v>
      </c>
      <c r="S7">
        <v>2500</v>
      </c>
    </row>
    <row r="8" spans="2:19" ht="12.75">
      <c r="B8" s="645" t="s">
        <v>289</v>
      </c>
      <c r="C8" s="646" t="s">
        <v>290</v>
      </c>
      <c r="D8" s="647">
        <v>3</v>
      </c>
      <c r="E8" s="648">
        <v>2000</v>
      </c>
      <c r="F8" s="648">
        <v>134000</v>
      </c>
      <c r="G8" s="650">
        <v>100000</v>
      </c>
      <c r="L8">
        <v>32</v>
      </c>
      <c r="M8">
        <v>3.9</v>
      </c>
      <c r="N8">
        <v>2000</v>
      </c>
      <c r="O8">
        <v>2000</v>
      </c>
      <c r="P8">
        <v>1000</v>
      </c>
      <c r="Q8">
        <v>2000</v>
      </c>
      <c r="R8" t="s">
        <v>259</v>
      </c>
      <c r="S8">
        <v>2048</v>
      </c>
    </row>
    <row r="9" spans="2:19" ht="12.75">
      <c r="B9" s="645" t="s">
        <v>22</v>
      </c>
      <c r="C9" s="646" t="s">
        <v>18</v>
      </c>
      <c r="D9" s="647">
        <v>2880</v>
      </c>
      <c r="E9" s="648">
        <v>3</v>
      </c>
      <c r="F9" s="648">
        <v>3</v>
      </c>
      <c r="G9" s="649">
        <v>0.5</v>
      </c>
      <c r="L9">
        <v>540</v>
      </c>
      <c r="M9">
        <v>3600</v>
      </c>
      <c r="N9" t="s">
        <v>291</v>
      </c>
      <c r="O9" t="s">
        <v>292</v>
      </c>
      <c r="P9" t="s">
        <v>293</v>
      </c>
      <c r="Q9">
        <v>10</v>
      </c>
      <c r="R9">
        <v>390</v>
      </c>
      <c r="S9">
        <v>317</v>
      </c>
    </row>
    <row r="10" spans="2:19" ht="12.75">
      <c r="B10" s="645" t="s">
        <v>17</v>
      </c>
      <c r="C10" s="646" t="s">
        <v>18</v>
      </c>
      <c r="D10" s="647">
        <v>2160</v>
      </c>
      <c r="E10" s="648">
        <v>32</v>
      </c>
      <c r="F10" s="648">
        <v>5</v>
      </c>
      <c r="G10" s="649">
        <v>16</v>
      </c>
      <c r="L10">
        <v>720</v>
      </c>
      <c r="M10">
        <v>3600</v>
      </c>
      <c r="N10" t="s">
        <v>291</v>
      </c>
      <c r="O10" t="s">
        <v>294</v>
      </c>
      <c r="P10" t="s">
        <v>295</v>
      </c>
      <c r="Q10">
        <v>10</v>
      </c>
      <c r="R10">
        <v>900</v>
      </c>
      <c r="S10">
        <v>360</v>
      </c>
    </row>
    <row r="11" spans="2:19" ht="12.75">
      <c r="B11" s="645" t="s">
        <v>296</v>
      </c>
      <c r="C11" s="646" t="s">
        <v>27</v>
      </c>
      <c r="D11" s="647">
        <v>36</v>
      </c>
      <c r="E11" s="648">
        <v>0.1</v>
      </c>
      <c r="F11" s="648">
        <v>0.05</v>
      </c>
      <c r="G11" s="649">
        <v>0.1</v>
      </c>
      <c r="L11" t="s">
        <v>297</v>
      </c>
      <c r="M11">
        <v>720</v>
      </c>
      <c r="N11" t="s">
        <v>259</v>
      </c>
      <c r="O11" t="s">
        <v>298</v>
      </c>
      <c r="P11">
        <v>1</v>
      </c>
      <c r="Q11">
        <v>0.055</v>
      </c>
      <c r="R11">
        <v>3.6</v>
      </c>
      <c r="S11" t="s">
        <v>299</v>
      </c>
    </row>
    <row r="12" spans="2:19" ht="12.75">
      <c r="B12" s="645" t="s">
        <v>300</v>
      </c>
      <c r="C12" s="646" t="s">
        <v>301</v>
      </c>
      <c r="D12" s="647">
        <v>60</v>
      </c>
      <c r="E12" s="648">
        <v>390</v>
      </c>
      <c r="F12" s="648">
        <v>240</v>
      </c>
      <c r="G12" s="649">
        <v>120</v>
      </c>
      <c r="L12" t="s">
        <v>297</v>
      </c>
      <c r="M12" t="s">
        <v>302</v>
      </c>
      <c r="N12" t="s">
        <v>259</v>
      </c>
      <c r="O12" t="s">
        <v>303</v>
      </c>
      <c r="P12">
        <v>60</v>
      </c>
      <c r="Q12">
        <v>6</v>
      </c>
      <c r="R12">
        <v>15</v>
      </c>
      <c r="S12">
        <v>240</v>
      </c>
    </row>
    <row r="13" spans="2:19" ht="12.75">
      <c r="B13" s="645" t="s">
        <v>304</v>
      </c>
      <c r="C13" s="646" t="s">
        <v>305</v>
      </c>
      <c r="D13" s="647">
        <v>1</v>
      </c>
      <c r="E13" s="648">
        <v>2</v>
      </c>
      <c r="F13" s="648">
        <v>5</v>
      </c>
      <c r="G13" s="649">
        <v>5</v>
      </c>
      <c r="L13">
        <v>5</v>
      </c>
      <c r="M13">
        <v>1</v>
      </c>
      <c r="N13">
        <v>5</v>
      </c>
      <c r="O13">
        <v>6</v>
      </c>
      <c r="P13" t="s">
        <v>306</v>
      </c>
      <c r="Q13">
        <v>3</v>
      </c>
      <c r="R13">
        <v>10</v>
      </c>
      <c r="S13" t="s">
        <v>307</v>
      </c>
    </row>
    <row r="14" spans="2:19" ht="26.25" customHeight="1">
      <c r="B14" s="645" t="s">
        <v>308</v>
      </c>
      <c r="C14" s="646" t="s">
        <v>309</v>
      </c>
      <c r="D14" s="647" t="s">
        <v>310</v>
      </c>
      <c r="E14" s="648" t="s">
        <v>311</v>
      </c>
      <c r="F14" s="648" t="s">
        <v>311</v>
      </c>
      <c r="G14" s="649" t="s">
        <v>311</v>
      </c>
      <c r="L14" t="s">
        <v>312</v>
      </c>
      <c r="M14" s="651" t="s">
        <v>313</v>
      </c>
      <c r="N14" t="s">
        <v>314</v>
      </c>
      <c r="O14" t="s">
        <v>315</v>
      </c>
      <c r="P14" t="s">
        <v>312</v>
      </c>
      <c r="Q14" t="s">
        <v>316</v>
      </c>
      <c r="R14" t="s">
        <v>317</v>
      </c>
      <c r="S14" s="651" t="s">
        <v>318</v>
      </c>
    </row>
    <row r="15" spans="2:19" ht="12.75">
      <c r="B15" s="645" t="s">
        <v>319</v>
      </c>
      <c r="C15" s="646" t="s">
        <v>320</v>
      </c>
      <c r="D15" s="647">
        <v>1</v>
      </c>
      <c r="E15" s="648">
        <v>1</v>
      </c>
      <c r="F15" s="648">
        <v>2</v>
      </c>
      <c r="G15" s="649">
        <v>0</v>
      </c>
      <c r="L15">
        <v>0</v>
      </c>
      <c r="M15">
        <v>0</v>
      </c>
      <c r="N15" t="s">
        <v>321</v>
      </c>
      <c r="O15">
        <v>0</v>
      </c>
      <c r="P15">
        <v>1</v>
      </c>
      <c r="Q15">
        <v>0</v>
      </c>
      <c r="R15">
        <v>0</v>
      </c>
      <c r="S15" t="s">
        <v>322</v>
      </c>
    </row>
    <row r="16" spans="2:19" ht="25.5">
      <c r="B16" s="645" t="s">
        <v>323</v>
      </c>
      <c r="C16" s="646" t="s">
        <v>324</v>
      </c>
      <c r="D16" s="647" t="s">
        <v>325</v>
      </c>
      <c r="E16" s="648" t="s">
        <v>326</v>
      </c>
      <c r="F16" s="648" t="s">
        <v>327</v>
      </c>
      <c r="G16" s="649" t="s">
        <v>327</v>
      </c>
      <c r="L16" t="s">
        <v>325</v>
      </c>
      <c r="M16" t="s">
        <v>325</v>
      </c>
      <c r="N16" t="s">
        <v>326</v>
      </c>
      <c r="O16" t="s">
        <v>325</v>
      </c>
      <c r="P16" t="s">
        <v>328</v>
      </c>
      <c r="Q16" t="s">
        <v>325</v>
      </c>
      <c r="R16" t="s">
        <v>325</v>
      </c>
      <c r="S16" t="s">
        <v>326</v>
      </c>
    </row>
    <row r="17" spans="2:19" ht="25.5">
      <c r="B17" s="645" t="s">
        <v>329</v>
      </c>
      <c r="C17" s="646"/>
      <c r="D17" s="647" t="s">
        <v>330</v>
      </c>
      <c r="E17" s="648" t="s">
        <v>331</v>
      </c>
      <c r="F17" s="648" t="s">
        <v>331</v>
      </c>
      <c r="G17" s="649" t="s">
        <v>331</v>
      </c>
      <c r="L17" t="s">
        <v>330</v>
      </c>
      <c r="M17" t="s">
        <v>330</v>
      </c>
      <c r="N17" t="s">
        <v>332</v>
      </c>
      <c r="O17" t="s">
        <v>330</v>
      </c>
      <c r="P17" t="s">
        <v>330</v>
      </c>
      <c r="Q17" t="s">
        <v>330</v>
      </c>
      <c r="R17" t="s">
        <v>331</v>
      </c>
      <c r="S17" t="s">
        <v>330</v>
      </c>
    </row>
    <row r="18" spans="2:19" ht="12.75">
      <c r="B18" s="645" t="s">
        <v>333</v>
      </c>
      <c r="C18" s="646" t="s">
        <v>117</v>
      </c>
      <c r="D18" s="647" t="s">
        <v>330</v>
      </c>
      <c r="E18" s="648">
        <v>21.3</v>
      </c>
      <c r="F18" s="648">
        <v>33</v>
      </c>
      <c r="G18" s="649">
        <v>67</v>
      </c>
      <c r="L18" t="s">
        <v>330</v>
      </c>
      <c r="M18" t="s">
        <v>330</v>
      </c>
      <c r="N18">
        <v>32</v>
      </c>
      <c r="O18" t="s">
        <v>330</v>
      </c>
      <c r="Q18" t="s">
        <v>330</v>
      </c>
      <c r="R18">
        <v>254</v>
      </c>
      <c r="S18" t="s">
        <v>334</v>
      </c>
    </row>
    <row r="19" spans="2:19" ht="12.75">
      <c r="B19" s="645" t="s">
        <v>335</v>
      </c>
      <c r="C19" s="646" t="s">
        <v>115</v>
      </c>
      <c r="D19" s="647" t="s">
        <v>330</v>
      </c>
      <c r="E19" s="648">
        <v>45</v>
      </c>
      <c r="F19" s="648">
        <v>72</v>
      </c>
      <c r="G19" s="649">
        <v>131</v>
      </c>
      <c r="L19" t="s">
        <v>330</v>
      </c>
      <c r="M19" t="s">
        <v>330</v>
      </c>
      <c r="N19">
        <v>40</v>
      </c>
      <c r="O19" t="s">
        <v>330</v>
      </c>
      <c r="Q19" t="s">
        <v>330</v>
      </c>
      <c r="R19">
        <v>800</v>
      </c>
      <c r="S19" t="s">
        <v>334</v>
      </c>
    </row>
    <row r="20" spans="2:7" ht="12.75">
      <c r="B20" s="645"/>
      <c r="C20" s="646"/>
      <c r="D20" s="647"/>
      <c r="E20" s="648"/>
      <c r="F20" s="648"/>
      <c r="G20" s="649"/>
    </row>
    <row r="21" spans="2:7" ht="13.5" thickBot="1">
      <c r="B21" s="652" t="s">
        <v>52</v>
      </c>
      <c r="C21" s="653" t="s">
        <v>336</v>
      </c>
      <c r="D21" s="654">
        <v>50</v>
      </c>
      <c r="E21" s="655">
        <v>75</v>
      </c>
      <c r="F21" s="655">
        <v>125</v>
      </c>
      <c r="G21" s="656">
        <v>150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B3:F6"/>
  <sheetViews>
    <sheetView showGridLines="0" workbookViewId="0" topLeftCell="A1">
      <selection activeCell="E26" sqref="E26"/>
    </sheetView>
  </sheetViews>
  <sheetFormatPr defaultColWidth="9.140625" defaultRowHeight="12.75"/>
  <cols>
    <col min="2" max="2" width="17.00390625" style="0" customWidth="1"/>
    <col min="3" max="3" width="12.140625" style="0" customWidth="1"/>
    <col min="5" max="5" width="12.421875" style="0" customWidth="1"/>
  </cols>
  <sheetData>
    <row r="2" ht="13.5" thickBot="1"/>
    <row r="3" spans="2:6" s="662" customFormat="1" ht="26.25" thickBot="1">
      <c r="B3" s="657"/>
      <c r="C3" s="658" t="s">
        <v>337</v>
      </c>
      <c r="D3" s="659" t="s">
        <v>338</v>
      </c>
      <c r="E3" s="660" t="s">
        <v>339</v>
      </c>
      <c r="F3" s="661" t="s">
        <v>340</v>
      </c>
    </row>
    <row r="4" spans="2:6" ht="12.75">
      <c r="B4" s="663" t="s">
        <v>341</v>
      </c>
      <c r="C4" s="664" t="s">
        <v>342</v>
      </c>
      <c r="D4" s="665" t="s">
        <v>297</v>
      </c>
      <c r="E4" s="666" t="s">
        <v>297</v>
      </c>
      <c r="F4" s="667" t="s">
        <v>343</v>
      </c>
    </row>
    <row r="5" spans="2:6" ht="12.75">
      <c r="B5" s="631" t="s">
        <v>344</v>
      </c>
      <c r="C5" s="668" t="s">
        <v>345</v>
      </c>
      <c r="D5" s="669" t="s">
        <v>346</v>
      </c>
      <c r="E5" s="670" t="s">
        <v>347</v>
      </c>
      <c r="F5" s="671" t="s">
        <v>348</v>
      </c>
    </row>
    <row r="6" spans="2:6" ht="13.5" thickBot="1">
      <c r="B6" s="633" t="s">
        <v>349</v>
      </c>
      <c r="C6" s="672" t="s">
        <v>350</v>
      </c>
      <c r="D6" s="673" t="s">
        <v>351</v>
      </c>
      <c r="E6" s="674" t="s">
        <v>352</v>
      </c>
      <c r="F6" s="675" t="s">
        <v>353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1"/>
  </sheetPr>
  <dimension ref="B1:I304"/>
  <sheetViews>
    <sheetView showGridLines="0" workbookViewId="0" topLeftCell="A1">
      <selection activeCell="M3" sqref="M3"/>
    </sheetView>
  </sheetViews>
  <sheetFormatPr defaultColWidth="9.140625" defaultRowHeight="12.75"/>
  <cols>
    <col min="1" max="1" width="2.8515625" style="686" customWidth="1"/>
    <col min="2" max="2" width="43.57421875" style="686" bestFit="1" customWidth="1"/>
    <col min="3" max="3" width="10.7109375" style="686" customWidth="1"/>
    <col min="4" max="4" width="1.421875" style="688" customWidth="1"/>
  </cols>
  <sheetData>
    <row r="1" spans="2:3" ht="13.5" thickBot="1">
      <c r="B1" s="687"/>
      <c r="C1" s="615"/>
    </row>
    <row r="2" spans="2:4" ht="12.75">
      <c r="B2" s="744" t="s">
        <v>363</v>
      </c>
      <c r="C2" s="698"/>
      <c r="D2" s="689"/>
    </row>
    <row r="3" spans="2:4" ht="12.75">
      <c r="B3" s="745"/>
      <c r="C3" s="699"/>
      <c r="D3" s="690"/>
    </row>
    <row r="4" spans="2:3" ht="12.75">
      <c r="B4" s="700"/>
      <c r="C4" s="701"/>
    </row>
    <row r="5" spans="2:4" ht="12.75">
      <c r="B5" s="702" t="s">
        <v>364</v>
      </c>
      <c r="C5" s="703" t="s">
        <v>134</v>
      </c>
      <c r="D5" s="691"/>
    </row>
    <row r="6" spans="2:4" ht="12.75">
      <c r="B6" s="704" t="s">
        <v>365</v>
      </c>
      <c r="C6" s="705">
        <f>SUM(C7,C300,C303)</f>
        <v>514.0921052631579</v>
      </c>
      <c r="D6" s="692"/>
    </row>
    <row r="7" spans="2:4" ht="12.75">
      <c r="B7" s="706" t="s">
        <v>366</v>
      </c>
      <c r="C7" s="707">
        <f>SUM(C8:C12,C275:C299)</f>
        <v>396.84210526315786</v>
      </c>
      <c r="D7" s="692"/>
    </row>
    <row r="8" spans="2:5" ht="12.75">
      <c r="B8" s="708" t="s">
        <v>367</v>
      </c>
      <c r="C8" s="709">
        <f>0.05*SUM(C275:C298,C12,C8:C11)</f>
        <v>15.263157894736842</v>
      </c>
      <c r="D8" s="692"/>
      <c r="E8" s="693" t="s">
        <v>368</v>
      </c>
    </row>
    <row r="9" spans="2:5" ht="12.75">
      <c r="B9" s="708" t="s">
        <v>369</v>
      </c>
      <c r="C9" s="709">
        <f>C8</f>
        <v>15.263157894736842</v>
      </c>
      <c r="D9" s="692"/>
      <c r="E9" s="693" t="s">
        <v>368</v>
      </c>
    </row>
    <row r="10" spans="2:9" ht="12.75">
      <c r="B10" s="708" t="s">
        <v>370</v>
      </c>
      <c r="C10" s="709">
        <f>0.04*SUM(C275:C298,C12,C8:C11)</f>
        <v>12.210526315789473</v>
      </c>
      <c r="D10" s="692"/>
      <c r="E10" s="693" t="s">
        <v>371</v>
      </c>
      <c r="G10" s="412"/>
      <c r="H10" s="412"/>
      <c r="I10" s="412"/>
    </row>
    <row r="11" spans="2:9" ht="12.75">
      <c r="B11" s="708" t="s">
        <v>372</v>
      </c>
      <c r="C11" s="710">
        <v>10</v>
      </c>
      <c r="D11" s="692"/>
      <c r="G11" s="412"/>
      <c r="H11" s="412"/>
      <c r="I11" s="412"/>
    </row>
    <row r="12" spans="2:9" ht="12.75">
      <c r="B12" s="708" t="s">
        <v>373</v>
      </c>
      <c r="C12" s="709">
        <f>SUM(C13:C17)</f>
        <v>100</v>
      </c>
      <c r="D12" s="692"/>
      <c r="G12" s="697"/>
      <c r="H12" s="412"/>
      <c r="I12" s="412"/>
    </row>
    <row r="13" spans="2:9" ht="12.75">
      <c r="B13" s="712" t="s">
        <v>374</v>
      </c>
      <c r="C13" s="710">
        <v>100</v>
      </c>
      <c r="D13" s="694"/>
      <c r="G13" s="412"/>
      <c r="H13" s="412"/>
      <c r="I13" s="697"/>
    </row>
    <row r="14" spans="2:9" ht="12.75">
      <c r="B14" s="712" t="s">
        <v>72</v>
      </c>
      <c r="C14" s="710"/>
      <c r="D14" s="694"/>
      <c r="G14" s="412"/>
      <c r="H14" s="412"/>
      <c r="I14" s="697"/>
    </row>
    <row r="15" spans="2:9" ht="12.75">
      <c r="B15" s="712" t="s">
        <v>73</v>
      </c>
      <c r="C15" s="710"/>
      <c r="D15" s="694"/>
      <c r="G15" s="412"/>
      <c r="H15" s="412"/>
      <c r="I15" s="697"/>
    </row>
    <row r="16" spans="2:9" ht="12.75">
      <c r="B16" s="712" t="s">
        <v>74</v>
      </c>
      <c r="C16" s="710"/>
      <c r="D16" s="694"/>
      <c r="G16" s="412"/>
      <c r="H16" s="412"/>
      <c r="I16" s="697"/>
    </row>
    <row r="17" spans="2:4" ht="12.75">
      <c r="B17" s="712" t="s">
        <v>75</v>
      </c>
      <c r="C17" s="710"/>
      <c r="D17" s="694"/>
    </row>
    <row r="18" spans="2:4" ht="12.75" customHeight="1" hidden="1">
      <c r="B18" s="712">
        <v>0</v>
      </c>
      <c r="C18" s="713">
        <v>0</v>
      </c>
      <c r="D18" s="694"/>
    </row>
    <row r="19" spans="2:4" ht="12.75" customHeight="1" hidden="1">
      <c r="B19" s="712">
        <v>0</v>
      </c>
      <c r="C19" s="713">
        <v>0</v>
      </c>
      <c r="D19" s="694"/>
    </row>
    <row r="20" spans="2:4" ht="12.75" customHeight="1" hidden="1">
      <c r="B20" s="712">
        <v>0</v>
      </c>
      <c r="C20" s="713">
        <v>0</v>
      </c>
      <c r="D20" s="694"/>
    </row>
    <row r="21" spans="2:4" ht="12.75" customHeight="1" hidden="1">
      <c r="B21" s="712">
        <v>0</v>
      </c>
      <c r="C21" s="713">
        <v>0</v>
      </c>
      <c r="D21" s="694"/>
    </row>
    <row r="22" spans="2:4" ht="12.75" customHeight="1" hidden="1">
      <c r="B22" s="712">
        <v>0</v>
      </c>
      <c r="C22" s="713">
        <v>0</v>
      </c>
      <c r="D22" s="694"/>
    </row>
    <row r="23" spans="2:4" ht="12.75" customHeight="1" hidden="1">
      <c r="B23" s="712">
        <v>0</v>
      </c>
      <c r="C23" s="713">
        <v>0</v>
      </c>
      <c r="D23" s="694"/>
    </row>
    <row r="24" spans="2:4" ht="12.75" customHeight="1" hidden="1">
      <c r="B24" s="712">
        <v>0</v>
      </c>
      <c r="C24" s="713">
        <v>0</v>
      </c>
      <c r="D24" s="694"/>
    </row>
    <row r="25" spans="2:4" ht="12.75" customHeight="1" hidden="1">
      <c r="B25" s="712">
        <v>0</v>
      </c>
      <c r="C25" s="713">
        <v>0</v>
      </c>
      <c r="D25" s="694"/>
    </row>
    <row r="26" spans="2:4" ht="12.75" customHeight="1" hidden="1">
      <c r="B26" s="712">
        <v>0</v>
      </c>
      <c r="C26" s="713">
        <v>0</v>
      </c>
      <c r="D26" s="694"/>
    </row>
    <row r="27" spans="2:4" ht="12.75" customHeight="1" hidden="1">
      <c r="B27" s="712">
        <v>0</v>
      </c>
      <c r="C27" s="713">
        <v>0</v>
      </c>
      <c r="D27" s="694"/>
    </row>
    <row r="28" spans="2:4" ht="12.75" customHeight="1" hidden="1">
      <c r="B28" s="712">
        <v>0</v>
      </c>
      <c r="C28" s="713">
        <v>0</v>
      </c>
      <c r="D28" s="694"/>
    </row>
    <row r="29" spans="2:4" ht="12.75" customHeight="1" hidden="1">
      <c r="B29" s="712">
        <v>0</v>
      </c>
      <c r="C29" s="713">
        <v>0</v>
      </c>
      <c r="D29" s="694"/>
    </row>
    <row r="30" spans="2:4" ht="12.75" customHeight="1" hidden="1">
      <c r="B30" s="712">
        <v>0</v>
      </c>
      <c r="C30" s="713">
        <v>0</v>
      </c>
      <c r="D30" s="694"/>
    </row>
    <row r="31" spans="2:4" ht="12.75" customHeight="1" hidden="1">
      <c r="B31" s="712">
        <v>0</v>
      </c>
      <c r="C31" s="713">
        <v>0</v>
      </c>
      <c r="D31" s="694"/>
    </row>
    <row r="32" spans="2:4" ht="12.75" customHeight="1" hidden="1">
      <c r="B32" s="712">
        <v>0</v>
      </c>
      <c r="C32" s="713">
        <v>0</v>
      </c>
      <c r="D32" s="694"/>
    </row>
    <row r="33" spans="2:4" ht="12.75" customHeight="1" hidden="1">
      <c r="B33" s="712">
        <v>0</v>
      </c>
      <c r="C33" s="713">
        <v>0</v>
      </c>
      <c r="D33" s="694"/>
    </row>
    <row r="34" spans="2:4" ht="12.75" customHeight="1" hidden="1">
      <c r="B34" s="712">
        <v>0</v>
      </c>
      <c r="C34" s="713">
        <v>0</v>
      </c>
      <c r="D34" s="694"/>
    </row>
    <row r="35" spans="2:4" ht="12.75" customHeight="1" hidden="1">
      <c r="B35" s="712">
        <v>0</v>
      </c>
      <c r="C35" s="713">
        <v>0</v>
      </c>
      <c r="D35" s="694"/>
    </row>
    <row r="36" spans="2:4" ht="12.75" customHeight="1" hidden="1">
      <c r="B36" s="712">
        <v>0</v>
      </c>
      <c r="C36" s="713">
        <v>0</v>
      </c>
      <c r="D36" s="694"/>
    </row>
    <row r="37" spans="2:4" ht="12.75" customHeight="1" hidden="1">
      <c r="B37" s="712">
        <v>0</v>
      </c>
      <c r="C37" s="713">
        <v>0</v>
      </c>
      <c r="D37" s="694"/>
    </row>
    <row r="38" spans="2:4" ht="12.75" customHeight="1" hidden="1">
      <c r="B38" s="712">
        <v>0</v>
      </c>
      <c r="C38" s="713">
        <v>0</v>
      </c>
      <c r="D38" s="694"/>
    </row>
    <row r="39" spans="2:4" ht="12.75" customHeight="1" hidden="1">
      <c r="B39" s="712">
        <v>0</v>
      </c>
      <c r="C39" s="713">
        <v>0</v>
      </c>
      <c r="D39" s="694"/>
    </row>
    <row r="40" spans="2:4" ht="12.75" customHeight="1" hidden="1">
      <c r="B40" s="712">
        <v>0</v>
      </c>
      <c r="C40" s="713">
        <v>0</v>
      </c>
      <c r="D40" s="694"/>
    </row>
    <row r="41" spans="2:4" ht="12.75" customHeight="1" hidden="1">
      <c r="B41" s="714" t="s">
        <v>375</v>
      </c>
      <c r="C41" s="715">
        <v>0</v>
      </c>
      <c r="D41" s="694"/>
    </row>
    <row r="42" spans="2:4" ht="12.75" customHeight="1" hidden="1">
      <c r="B42" s="716" t="s">
        <v>376</v>
      </c>
      <c r="C42" s="713">
        <v>0</v>
      </c>
      <c r="D42" s="694"/>
    </row>
    <row r="43" spans="2:4" ht="12.75" customHeight="1" hidden="1">
      <c r="B43" s="716" t="s">
        <v>377</v>
      </c>
      <c r="C43" s="713">
        <v>0</v>
      </c>
      <c r="D43" s="694"/>
    </row>
    <row r="44" spans="2:4" ht="12.75" customHeight="1" hidden="1">
      <c r="B44" s="716" t="s">
        <v>378</v>
      </c>
      <c r="C44" s="713">
        <v>0</v>
      </c>
      <c r="D44" s="694"/>
    </row>
    <row r="45" spans="2:4" ht="12.75" customHeight="1" hidden="1">
      <c r="B45" s="716" t="s">
        <v>379</v>
      </c>
      <c r="C45" s="713">
        <v>0</v>
      </c>
      <c r="D45" s="694"/>
    </row>
    <row r="46" spans="2:4" ht="12.75" customHeight="1" hidden="1">
      <c r="B46" s="716" t="s">
        <v>380</v>
      </c>
      <c r="C46" s="713">
        <v>0</v>
      </c>
      <c r="D46" s="694"/>
    </row>
    <row r="47" spans="2:4" ht="12.75" customHeight="1" hidden="1">
      <c r="B47" s="716" t="s">
        <v>381</v>
      </c>
      <c r="C47" s="713">
        <v>0</v>
      </c>
      <c r="D47" s="694"/>
    </row>
    <row r="48" spans="2:4" ht="12.75" customHeight="1" hidden="1">
      <c r="B48" s="716" t="s">
        <v>382</v>
      </c>
      <c r="C48" s="713">
        <v>0</v>
      </c>
      <c r="D48" s="694"/>
    </row>
    <row r="49" spans="2:4" ht="12.75" customHeight="1" hidden="1">
      <c r="B49" s="716" t="s">
        <v>383</v>
      </c>
      <c r="C49" s="713">
        <v>0</v>
      </c>
      <c r="D49" s="694"/>
    </row>
    <row r="50" spans="2:4" ht="12.75" customHeight="1" hidden="1">
      <c r="B50" s="716" t="s">
        <v>384</v>
      </c>
      <c r="C50" s="713">
        <v>0</v>
      </c>
      <c r="D50" s="694"/>
    </row>
    <row r="51" spans="2:4" ht="12.75" customHeight="1" hidden="1">
      <c r="B51" s="716" t="s">
        <v>385</v>
      </c>
      <c r="C51" s="713">
        <v>0</v>
      </c>
      <c r="D51" s="694"/>
    </row>
    <row r="52" spans="2:4" ht="12.75" customHeight="1" hidden="1">
      <c r="B52" s="716" t="s">
        <v>386</v>
      </c>
      <c r="C52" s="713">
        <v>0</v>
      </c>
      <c r="D52" s="694"/>
    </row>
    <row r="53" spans="2:4" ht="12.75" customHeight="1" hidden="1">
      <c r="B53" s="716" t="s">
        <v>387</v>
      </c>
      <c r="C53" s="713">
        <v>0</v>
      </c>
      <c r="D53" s="694"/>
    </row>
    <row r="54" spans="2:4" ht="12.75" customHeight="1" hidden="1">
      <c r="B54" s="716" t="s">
        <v>388</v>
      </c>
      <c r="C54" s="713">
        <v>0</v>
      </c>
      <c r="D54" s="694"/>
    </row>
    <row r="55" spans="2:4" ht="12.75" customHeight="1" hidden="1">
      <c r="B55" s="716" t="s">
        <v>389</v>
      </c>
      <c r="C55" s="713">
        <v>0</v>
      </c>
      <c r="D55" s="694"/>
    </row>
    <row r="56" spans="2:4" ht="12.75" customHeight="1" hidden="1">
      <c r="B56" s="716" t="s">
        <v>390</v>
      </c>
      <c r="C56" s="713">
        <v>0</v>
      </c>
      <c r="D56" s="694"/>
    </row>
    <row r="57" spans="2:4" ht="12.75" customHeight="1" hidden="1">
      <c r="B57" s="716" t="s">
        <v>391</v>
      </c>
      <c r="C57" s="713">
        <v>0</v>
      </c>
      <c r="D57" s="694"/>
    </row>
    <row r="58" spans="2:4" ht="12.75" customHeight="1" hidden="1">
      <c r="B58" s="716" t="s">
        <v>392</v>
      </c>
      <c r="C58" s="713">
        <v>0</v>
      </c>
      <c r="D58" s="694"/>
    </row>
    <row r="59" spans="2:4" ht="12.75" customHeight="1" hidden="1">
      <c r="B59" s="716" t="s">
        <v>393</v>
      </c>
      <c r="C59" s="713">
        <v>0</v>
      </c>
      <c r="D59" s="694"/>
    </row>
    <row r="60" spans="2:4" ht="12.75" customHeight="1" hidden="1">
      <c r="B60" s="716" t="s">
        <v>394</v>
      </c>
      <c r="C60" s="713">
        <v>0</v>
      </c>
      <c r="D60" s="694"/>
    </row>
    <row r="61" spans="2:4" ht="12.75" customHeight="1" hidden="1">
      <c r="B61" s="716" t="s">
        <v>395</v>
      </c>
      <c r="C61" s="713">
        <v>0</v>
      </c>
      <c r="D61" s="694"/>
    </row>
    <row r="62" spans="2:4" ht="12.75" customHeight="1" hidden="1">
      <c r="B62" s="716" t="s">
        <v>396</v>
      </c>
      <c r="C62" s="713">
        <v>0</v>
      </c>
      <c r="D62" s="694"/>
    </row>
    <row r="63" spans="2:4" ht="12.75" customHeight="1" hidden="1">
      <c r="B63" s="716" t="s">
        <v>397</v>
      </c>
      <c r="C63" s="713">
        <v>0</v>
      </c>
      <c r="D63" s="694"/>
    </row>
    <row r="64" spans="2:4" ht="12.75" customHeight="1" hidden="1">
      <c r="B64" s="716" t="s">
        <v>398</v>
      </c>
      <c r="C64" s="713">
        <v>0</v>
      </c>
      <c r="D64" s="694"/>
    </row>
    <row r="65" spans="2:4" ht="12.75" customHeight="1" hidden="1">
      <c r="B65" s="716" t="s">
        <v>399</v>
      </c>
      <c r="C65" s="713">
        <v>0</v>
      </c>
      <c r="D65" s="694"/>
    </row>
    <row r="66" spans="2:4" ht="12.75" customHeight="1" hidden="1">
      <c r="B66" s="716" t="s">
        <v>400</v>
      </c>
      <c r="C66" s="713">
        <v>0</v>
      </c>
      <c r="D66" s="694"/>
    </row>
    <row r="67" spans="2:4" ht="12.75" customHeight="1" hidden="1">
      <c r="B67" s="714" t="s">
        <v>401</v>
      </c>
      <c r="C67" s="715">
        <v>0</v>
      </c>
      <c r="D67" s="694"/>
    </row>
    <row r="68" spans="2:4" ht="12.75" customHeight="1" hidden="1">
      <c r="B68" s="716" t="s">
        <v>376</v>
      </c>
      <c r="C68" s="713">
        <v>0</v>
      </c>
      <c r="D68" s="694"/>
    </row>
    <row r="69" spans="2:4" ht="12.75" customHeight="1" hidden="1">
      <c r="B69" s="716" t="s">
        <v>377</v>
      </c>
      <c r="C69" s="713">
        <v>0</v>
      </c>
      <c r="D69" s="694"/>
    </row>
    <row r="70" spans="2:4" ht="12.75" customHeight="1" hidden="1">
      <c r="B70" s="716" t="s">
        <v>378</v>
      </c>
      <c r="C70" s="713">
        <v>0</v>
      </c>
      <c r="D70" s="694"/>
    </row>
    <row r="71" spans="2:4" ht="12.75" customHeight="1" hidden="1">
      <c r="B71" s="716" t="s">
        <v>379</v>
      </c>
      <c r="C71" s="713">
        <v>0</v>
      </c>
      <c r="D71" s="694"/>
    </row>
    <row r="72" spans="2:4" ht="12.75" customHeight="1" hidden="1">
      <c r="B72" s="716" t="s">
        <v>380</v>
      </c>
      <c r="C72" s="713">
        <v>0</v>
      </c>
      <c r="D72" s="694"/>
    </row>
    <row r="73" spans="2:4" ht="12.75" customHeight="1" hidden="1">
      <c r="B73" s="716" t="s">
        <v>381</v>
      </c>
      <c r="C73" s="713">
        <v>0</v>
      </c>
      <c r="D73" s="694"/>
    </row>
    <row r="74" spans="2:4" ht="12.75" customHeight="1" hidden="1">
      <c r="B74" s="716" t="s">
        <v>382</v>
      </c>
      <c r="C74" s="713">
        <v>0</v>
      </c>
      <c r="D74" s="694"/>
    </row>
    <row r="75" spans="2:4" ht="12.75" customHeight="1" hidden="1">
      <c r="B75" s="716" t="s">
        <v>383</v>
      </c>
      <c r="C75" s="713">
        <v>0</v>
      </c>
      <c r="D75" s="694"/>
    </row>
    <row r="76" spans="2:4" ht="12.75" customHeight="1" hidden="1">
      <c r="B76" s="716" t="s">
        <v>384</v>
      </c>
      <c r="C76" s="713">
        <v>0</v>
      </c>
      <c r="D76" s="694"/>
    </row>
    <row r="77" spans="2:4" ht="12.75" customHeight="1" hidden="1">
      <c r="B77" s="716" t="s">
        <v>385</v>
      </c>
      <c r="C77" s="713">
        <v>0</v>
      </c>
      <c r="D77" s="694"/>
    </row>
    <row r="78" spans="2:4" ht="12.75" customHeight="1" hidden="1">
      <c r="B78" s="716" t="s">
        <v>386</v>
      </c>
      <c r="C78" s="713">
        <v>0</v>
      </c>
      <c r="D78" s="694"/>
    </row>
    <row r="79" spans="2:4" ht="12.75" customHeight="1" hidden="1">
      <c r="B79" s="716" t="s">
        <v>387</v>
      </c>
      <c r="C79" s="713">
        <v>0</v>
      </c>
      <c r="D79" s="694"/>
    </row>
    <row r="80" spans="2:4" ht="12.75" customHeight="1" hidden="1">
      <c r="B80" s="716" t="s">
        <v>388</v>
      </c>
      <c r="C80" s="713">
        <v>0</v>
      </c>
      <c r="D80" s="694"/>
    </row>
    <row r="81" spans="2:4" ht="12.75" customHeight="1" hidden="1">
      <c r="B81" s="716" t="s">
        <v>389</v>
      </c>
      <c r="C81" s="713">
        <v>0</v>
      </c>
      <c r="D81" s="694"/>
    </row>
    <row r="82" spans="2:4" ht="12.75" customHeight="1" hidden="1">
      <c r="B82" s="716" t="s">
        <v>390</v>
      </c>
      <c r="C82" s="713">
        <v>0</v>
      </c>
      <c r="D82" s="694"/>
    </row>
    <row r="83" spans="2:4" ht="12.75" customHeight="1" hidden="1">
      <c r="B83" s="716" t="s">
        <v>391</v>
      </c>
      <c r="C83" s="713">
        <v>0</v>
      </c>
      <c r="D83" s="694"/>
    </row>
    <row r="84" spans="2:4" ht="12.75" customHeight="1" hidden="1">
      <c r="B84" s="716" t="s">
        <v>392</v>
      </c>
      <c r="C84" s="713">
        <v>0</v>
      </c>
      <c r="D84" s="694"/>
    </row>
    <row r="85" spans="2:4" ht="12.75" customHeight="1" hidden="1">
      <c r="B85" s="716" t="s">
        <v>393</v>
      </c>
      <c r="C85" s="713">
        <v>0</v>
      </c>
      <c r="D85" s="694"/>
    </row>
    <row r="86" spans="2:4" ht="12.75" customHeight="1" hidden="1">
      <c r="B86" s="716" t="s">
        <v>394</v>
      </c>
      <c r="C86" s="713">
        <v>0</v>
      </c>
      <c r="D86" s="694"/>
    </row>
    <row r="87" spans="2:4" ht="12.75" customHeight="1" hidden="1">
      <c r="B87" s="716" t="s">
        <v>395</v>
      </c>
      <c r="C87" s="713">
        <v>0</v>
      </c>
      <c r="D87" s="694"/>
    </row>
    <row r="88" spans="2:4" ht="12.75" customHeight="1" hidden="1">
      <c r="B88" s="716" t="s">
        <v>396</v>
      </c>
      <c r="C88" s="713">
        <v>0</v>
      </c>
      <c r="D88" s="694"/>
    </row>
    <row r="89" spans="2:4" ht="12.75" customHeight="1" hidden="1">
      <c r="B89" s="716" t="s">
        <v>397</v>
      </c>
      <c r="C89" s="713">
        <v>0</v>
      </c>
      <c r="D89" s="694"/>
    </row>
    <row r="90" spans="2:4" ht="12.75" customHeight="1" hidden="1">
      <c r="B90" s="716" t="s">
        <v>398</v>
      </c>
      <c r="C90" s="713">
        <v>0</v>
      </c>
      <c r="D90" s="694"/>
    </row>
    <row r="91" spans="2:4" ht="12.75" customHeight="1" hidden="1">
      <c r="B91" s="716" t="s">
        <v>399</v>
      </c>
      <c r="C91" s="713">
        <v>0</v>
      </c>
      <c r="D91" s="694"/>
    </row>
    <row r="92" spans="2:4" ht="12.75" customHeight="1" hidden="1">
      <c r="B92" s="716" t="s">
        <v>400</v>
      </c>
      <c r="C92" s="713">
        <v>0</v>
      </c>
      <c r="D92" s="694"/>
    </row>
    <row r="93" spans="2:4" ht="12.75" customHeight="1" hidden="1">
      <c r="B93" s="714" t="s">
        <v>402</v>
      </c>
      <c r="C93" s="715">
        <v>0</v>
      </c>
      <c r="D93" s="694"/>
    </row>
    <row r="94" spans="2:4" ht="12.75" customHeight="1" hidden="1">
      <c r="B94" s="716" t="s">
        <v>376</v>
      </c>
      <c r="C94" s="713">
        <v>0</v>
      </c>
      <c r="D94" s="694"/>
    </row>
    <row r="95" spans="2:4" ht="12.75" customHeight="1" hidden="1">
      <c r="B95" s="716" t="s">
        <v>377</v>
      </c>
      <c r="C95" s="713">
        <v>0</v>
      </c>
      <c r="D95" s="694"/>
    </row>
    <row r="96" spans="2:4" ht="12.75" customHeight="1" hidden="1">
      <c r="B96" s="716" t="s">
        <v>378</v>
      </c>
      <c r="C96" s="713">
        <v>0</v>
      </c>
      <c r="D96" s="694"/>
    </row>
    <row r="97" spans="2:4" ht="12.75" customHeight="1" hidden="1">
      <c r="B97" s="716" t="s">
        <v>379</v>
      </c>
      <c r="C97" s="713">
        <v>0</v>
      </c>
      <c r="D97" s="694"/>
    </row>
    <row r="98" spans="2:4" ht="12.75" customHeight="1" hidden="1">
      <c r="B98" s="716" t="s">
        <v>380</v>
      </c>
      <c r="C98" s="713">
        <v>0</v>
      </c>
      <c r="D98" s="694"/>
    </row>
    <row r="99" spans="2:4" ht="12.75" customHeight="1" hidden="1">
      <c r="B99" s="716" t="s">
        <v>381</v>
      </c>
      <c r="C99" s="713">
        <v>0</v>
      </c>
      <c r="D99" s="694"/>
    </row>
    <row r="100" spans="2:4" ht="12.75" customHeight="1" hidden="1">
      <c r="B100" s="716" t="s">
        <v>382</v>
      </c>
      <c r="C100" s="713">
        <v>0</v>
      </c>
      <c r="D100" s="694"/>
    </row>
    <row r="101" spans="2:4" ht="12.75" customHeight="1" hidden="1">
      <c r="B101" s="716" t="s">
        <v>383</v>
      </c>
      <c r="C101" s="713">
        <v>0</v>
      </c>
      <c r="D101" s="694"/>
    </row>
    <row r="102" spans="2:4" ht="12.75" customHeight="1" hidden="1">
      <c r="B102" s="716" t="s">
        <v>384</v>
      </c>
      <c r="C102" s="713">
        <v>0</v>
      </c>
      <c r="D102" s="694"/>
    </row>
    <row r="103" spans="2:4" ht="12.75" customHeight="1" hidden="1">
      <c r="B103" s="716" t="s">
        <v>385</v>
      </c>
      <c r="C103" s="713">
        <v>0</v>
      </c>
      <c r="D103" s="694"/>
    </row>
    <row r="104" spans="2:4" ht="12.75" customHeight="1" hidden="1">
      <c r="B104" s="716" t="s">
        <v>386</v>
      </c>
      <c r="C104" s="713">
        <v>0</v>
      </c>
      <c r="D104" s="694"/>
    </row>
    <row r="105" spans="2:4" ht="12.75" customHeight="1" hidden="1">
      <c r="B105" s="716" t="s">
        <v>387</v>
      </c>
      <c r="C105" s="713">
        <v>0</v>
      </c>
      <c r="D105" s="694"/>
    </row>
    <row r="106" spans="2:4" ht="12.75" customHeight="1" hidden="1">
      <c r="B106" s="716" t="s">
        <v>388</v>
      </c>
      <c r="C106" s="713">
        <v>0</v>
      </c>
      <c r="D106" s="694"/>
    </row>
    <row r="107" spans="2:4" ht="12.75" customHeight="1" hidden="1">
      <c r="B107" s="716" t="s">
        <v>389</v>
      </c>
      <c r="C107" s="713">
        <v>0</v>
      </c>
      <c r="D107" s="694"/>
    </row>
    <row r="108" spans="2:4" ht="12.75" customHeight="1" hidden="1">
      <c r="B108" s="716" t="s">
        <v>390</v>
      </c>
      <c r="C108" s="713">
        <v>0</v>
      </c>
      <c r="D108" s="694"/>
    </row>
    <row r="109" spans="2:4" ht="12.75" customHeight="1" hidden="1">
      <c r="B109" s="716" t="s">
        <v>391</v>
      </c>
      <c r="C109" s="713">
        <v>0</v>
      </c>
      <c r="D109" s="694"/>
    </row>
    <row r="110" spans="2:4" ht="12.75" customHeight="1" hidden="1">
      <c r="B110" s="716" t="s">
        <v>392</v>
      </c>
      <c r="C110" s="713">
        <v>0</v>
      </c>
      <c r="D110" s="694"/>
    </row>
    <row r="111" spans="2:4" ht="12.75" customHeight="1" hidden="1">
      <c r="B111" s="716" t="s">
        <v>393</v>
      </c>
      <c r="C111" s="713">
        <v>0</v>
      </c>
      <c r="D111" s="694"/>
    </row>
    <row r="112" spans="2:4" ht="12.75" customHeight="1" hidden="1">
      <c r="B112" s="716" t="s">
        <v>394</v>
      </c>
      <c r="C112" s="713">
        <v>0</v>
      </c>
      <c r="D112" s="694"/>
    </row>
    <row r="113" spans="2:4" ht="12.75" customHeight="1" hidden="1">
      <c r="B113" s="716" t="s">
        <v>395</v>
      </c>
      <c r="C113" s="713">
        <v>0</v>
      </c>
      <c r="D113" s="694"/>
    </row>
    <row r="114" spans="2:4" ht="12.75" customHeight="1" hidden="1">
      <c r="B114" s="716" t="s">
        <v>396</v>
      </c>
      <c r="C114" s="713">
        <v>0</v>
      </c>
      <c r="D114" s="694"/>
    </row>
    <row r="115" spans="2:4" ht="12.75" customHeight="1" hidden="1">
      <c r="B115" s="716" t="s">
        <v>397</v>
      </c>
      <c r="C115" s="713">
        <v>0</v>
      </c>
      <c r="D115" s="694"/>
    </row>
    <row r="116" spans="2:4" ht="12.75" customHeight="1" hidden="1">
      <c r="B116" s="716" t="s">
        <v>398</v>
      </c>
      <c r="C116" s="713">
        <v>0</v>
      </c>
      <c r="D116" s="694"/>
    </row>
    <row r="117" spans="2:4" ht="12.75" customHeight="1" hidden="1">
      <c r="B117" s="716" t="s">
        <v>399</v>
      </c>
      <c r="C117" s="713">
        <v>0</v>
      </c>
      <c r="D117" s="694"/>
    </row>
    <row r="118" spans="2:4" ht="12.75" customHeight="1" hidden="1">
      <c r="B118" s="716" t="s">
        <v>400</v>
      </c>
      <c r="C118" s="713">
        <v>0</v>
      </c>
      <c r="D118" s="694"/>
    </row>
    <row r="119" spans="2:4" ht="12.75" customHeight="1" hidden="1">
      <c r="B119" s="714" t="s">
        <v>403</v>
      </c>
      <c r="C119" s="715">
        <v>0</v>
      </c>
      <c r="D119" s="694"/>
    </row>
    <row r="120" spans="2:4" ht="12.75" customHeight="1" hidden="1">
      <c r="B120" s="716" t="s">
        <v>376</v>
      </c>
      <c r="C120" s="713">
        <v>0</v>
      </c>
      <c r="D120" s="694"/>
    </row>
    <row r="121" spans="2:4" ht="12.75" customHeight="1" hidden="1">
      <c r="B121" s="716" t="s">
        <v>377</v>
      </c>
      <c r="C121" s="713">
        <v>0</v>
      </c>
      <c r="D121" s="694"/>
    </row>
    <row r="122" spans="2:4" ht="12.75" customHeight="1" hidden="1">
      <c r="B122" s="716" t="s">
        <v>378</v>
      </c>
      <c r="C122" s="713">
        <v>0</v>
      </c>
      <c r="D122" s="694"/>
    </row>
    <row r="123" spans="2:4" ht="12.75" customHeight="1" hidden="1">
      <c r="B123" s="716" t="s">
        <v>379</v>
      </c>
      <c r="C123" s="713">
        <v>0</v>
      </c>
      <c r="D123" s="694"/>
    </row>
    <row r="124" spans="2:4" ht="12.75" customHeight="1" hidden="1">
      <c r="B124" s="716" t="s">
        <v>380</v>
      </c>
      <c r="C124" s="713">
        <v>0</v>
      </c>
      <c r="D124" s="694"/>
    </row>
    <row r="125" spans="2:4" ht="12.75" customHeight="1" hidden="1">
      <c r="B125" s="716" t="s">
        <v>381</v>
      </c>
      <c r="C125" s="713">
        <v>0</v>
      </c>
      <c r="D125" s="694"/>
    </row>
    <row r="126" spans="2:4" ht="12.75" customHeight="1" hidden="1">
      <c r="B126" s="716" t="s">
        <v>382</v>
      </c>
      <c r="C126" s="713">
        <v>0</v>
      </c>
      <c r="D126" s="694"/>
    </row>
    <row r="127" spans="2:4" ht="12.75" customHeight="1" hidden="1">
      <c r="B127" s="716" t="s">
        <v>383</v>
      </c>
      <c r="C127" s="713">
        <v>0</v>
      </c>
      <c r="D127" s="694"/>
    </row>
    <row r="128" spans="2:4" ht="12.75" customHeight="1" hidden="1">
      <c r="B128" s="716" t="s">
        <v>384</v>
      </c>
      <c r="C128" s="713">
        <v>0</v>
      </c>
      <c r="D128" s="694"/>
    </row>
    <row r="129" spans="2:4" ht="12.75" customHeight="1" hidden="1">
      <c r="B129" s="716" t="s">
        <v>385</v>
      </c>
      <c r="C129" s="713">
        <v>0</v>
      </c>
      <c r="D129" s="694"/>
    </row>
    <row r="130" spans="2:4" ht="12.75" customHeight="1" hidden="1">
      <c r="B130" s="716" t="s">
        <v>386</v>
      </c>
      <c r="C130" s="713">
        <v>0</v>
      </c>
      <c r="D130" s="694"/>
    </row>
    <row r="131" spans="2:4" ht="12.75" customHeight="1" hidden="1">
      <c r="B131" s="716" t="s">
        <v>387</v>
      </c>
      <c r="C131" s="713">
        <v>0</v>
      </c>
      <c r="D131" s="694"/>
    </row>
    <row r="132" spans="2:4" ht="12.75" customHeight="1" hidden="1">
      <c r="B132" s="716" t="s">
        <v>388</v>
      </c>
      <c r="C132" s="713">
        <v>0</v>
      </c>
      <c r="D132" s="694"/>
    </row>
    <row r="133" spans="2:4" ht="12.75" customHeight="1" hidden="1">
      <c r="B133" s="716" t="s">
        <v>389</v>
      </c>
      <c r="C133" s="713">
        <v>0</v>
      </c>
      <c r="D133" s="694"/>
    </row>
    <row r="134" spans="2:4" ht="12.75" customHeight="1" hidden="1">
      <c r="B134" s="716" t="s">
        <v>390</v>
      </c>
      <c r="C134" s="713">
        <v>0</v>
      </c>
      <c r="D134" s="694"/>
    </row>
    <row r="135" spans="2:4" ht="12.75" customHeight="1" hidden="1">
      <c r="B135" s="716" t="s">
        <v>391</v>
      </c>
      <c r="C135" s="713">
        <v>0</v>
      </c>
      <c r="D135" s="694"/>
    </row>
    <row r="136" spans="2:4" ht="12.75" customHeight="1" hidden="1">
      <c r="B136" s="716" t="s">
        <v>392</v>
      </c>
      <c r="C136" s="713">
        <v>0</v>
      </c>
      <c r="D136" s="694"/>
    </row>
    <row r="137" spans="2:4" ht="12.75" customHeight="1" hidden="1">
      <c r="B137" s="716" t="s">
        <v>393</v>
      </c>
      <c r="C137" s="713">
        <v>0</v>
      </c>
      <c r="D137" s="694"/>
    </row>
    <row r="138" spans="2:4" ht="12.75" customHeight="1" hidden="1">
      <c r="B138" s="716" t="s">
        <v>394</v>
      </c>
      <c r="C138" s="713">
        <v>0</v>
      </c>
      <c r="D138" s="694"/>
    </row>
    <row r="139" spans="2:4" ht="12.75" customHeight="1" hidden="1">
      <c r="B139" s="716" t="s">
        <v>395</v>
      </c>
      <c r="C139" s="713">
        <v>0</v>
      </c>
      <c r="D139" s="694"/>
    </row>
    <row r="140" spans="2:4" ht="12.75" customHeight="1" hidden="1">
      <c r="B140" s="716" t="s">
        <v>396</v>
      </c>
      <c r="C140" s="713">
        <v>0</v>
      </c>
      <c r="D140" s="694"/>
    </row>
    <row r="141" spans="2:4" ht="12.75" customHeight="1" hidden="1">
      <c r="B141" s="716" t="s">
        <v>397</v>
      </c>
      <c r="C141" s="713">
        <v>0</v>
      </c>
      <c r="D141" s="694"/>
    </row>
    <row r="142" spans="2:4" ht="12.75" customHeight="1" hidden="1">
      <c r="B142" s="716" t="s">
        <v>398</v>
      </c>
      <c r="C142" s="713">
        <v>0</v>
      </c>
      <c r="D142" s="694"/>
    </row>
    <row r="143" spans="2:4" ht="12.75" customHeight="1" hidden="1">
      <c r="B143" s="716" t="s">
        <v>399</v>
      </c>
      <c r="C143" s="713">
        <v>0</v>
      </c>
      <c r="D143" s="694"/>
    </row>
    <row r="144" spans="2:4" ht="12.75" customHeight="1" hidden="1">
      <c r="B144" s="716" t="s">
        <v>400</v>
      </c>
      <c r="C144" s="713">
        <v>0</v>
      </c>
      <c r="D144" s="694"/>
    </row>
    <row r="145" spans="2:4" ht="12.75" customHeight="1" hidden="1">
      <c r="B145" s="714" t="s">
        <v>404</v>
      </c>
      <c r="C145" s="715">
        <v>0</v>
      </c>
      <c r="D145" s="694"/>
    </row>
    <row r="146" spans="2:4" ht="12.75" customHeight="1" hidden="1">
      <c r="B146" s="716" t="s">
        <v>376</v>
      </c>
      <c r="C146" s="713">
        <v>0</v>
      </c>
      <c r="D146" s="694"/>
    </row>
    <row r="147" spans="2:4" ht="12.75" customHeight="1" hidden="1">
      <c r="B147" s="716" t="s">
        <v>377</v>
      </c>
      <c r="C147" s="713">
        <v>0</v>
      </c>
      <c r="D147" s="694"/>
    </row>
    <row r="148" spans="2:4" ht="12.75" customHeight="1" hidden="1">
      <c r="B148" s="716" t="s">
        <v>378</v>
      </c>
      <c r="C148" s="713">
        <v>0</v>
      </c>
      <c r="D148" s="694"/>
    </row>
    <row r="149" spans="2:4" ht="12.75" customHeight="1" hidden="1">
      <c r="B149" s="716" t="s">
        <v>379</v>
      </c>
      <c r="C149" s="713">
        <v>0</v>
      </c>
      <c r="D149" s="694"/>
    </row>
    <row r="150" spans="2:4" ht="12.75" customHeight="1" hidden="1">
      <c r="B150" s="716" t="s">
        <v>380</v>
      </c>
      <c r="C150" s="713">
        <v>0</v>
      </c>
      <c r="D150" s="694"/>
    </row>
    <row r="151" spans="2:4" ht="12.75" customHeight="1" hidden="1">
      <c r="B151" s="716" t="s">
        <v>381</v>
      </c>
      <c r="C151" s="713">
        <v>0</v>
      </c>
      <c r="D151" s="694"/>
    </row>
    <row r="152" spans="2:4" ht="12.75" customHeight="1" hidden="1">
      <c r="B152" s="716" t="s">
        <v>382</v>
      </c>
      <c r="C152" s="713">
        <v>0</v>
      </c>
      <c r="D152" s="694"/>
    </row>
    <row r="153" spans="2:4" ht="12.75" customHeight="1" hidden="1">
      <c r="B153" s="716" t="s">
        <v>383</v>
      </c>
      <c r="C153" s="713">
        <v>0</v>
      </c>
      <c r="D153" s="694"/>
    </row>
    <row r="154" spans="2:4" ht="12.75" customHeight="1" hidden="1">
      <c r="B154" s="716" t="s">
        <v>384</v>
      </c>
      <c r="C154" s="713">
        <v>0</v>
      </c>
      <c r="D154" s="694"/>
    </row>
    <row r="155" spans="2:4" ht="12.75" customHeight="1" hidden="1">
      <c r="B155" s="716" t="s">
        <v>385</v>
      </c>
      <c r="C155" s="713">
        <v>0</v>
      </c>
      <c r="D155" s="694"/>
    </row>
    <row r="156" spans="2:4" ht="12.75" customHeight="1" hidden="1">
      <c r="B156" s="716" t="s">
        <v>386</v>
      </c>
      <c r="C156" s="713">
        <v>0</v>
      </c>
      <c r="D156" s="694"/>
    </row>
    <row r="157" spans="2:4" ht="12.75" customHeight="1" hidden="1">
      <c r="B157" s="716" t="s">
        <v>387</v>
      </c>
      <c r="C157" s="713">
        <v>0</v>
      </c>
      <c r="D157" s="694"/>
    </row>
    <row r="158" spans="2:4" ht="12.75" customHeight="1" hidden="1">
      <c r="B158" s="716" t="s">
        <v>388</v>
      </c>
      <c r="C158" s="713">
        <v>0</v>
      </c>
      <c r="D158" s="694"/>
    </row>
    <row r="159" spans="2:4" ht="12.75" customHeight="1" hidden="1">
      <c r="B159" s="716" t="s">
        <v>389</v>
      </c>
      <c r="C159" s="713">
        <v>0</v>
      </c>
      <c r="D159" s="694"/>
    </row>
    <row r="160" spans="2:4" ht="12.75" customHeight="1" hidden="1">
      <c r="B160" s="716" t="s">
        <v>390</v>
      </c>
      <c r="C160" s="713">
        <v>0</v>
      </c>
      <c r="D160" s="694"/>
    </row>
    <row r="161" spans="2:4" ht="12.75" customHeight="1" hidden="1">
      <c r="B161" s="716" t="s">
        <v>391</v>
      </c>
      <c r="C161" s="713">
        <v>0</v>
      </c>
      <c r="D161" s="694"/>
    </row>
    <row r="162" spans="2:4" ht="12.75" customHeight="1" hidden="1">
      <c r="B162" s="716" t="s">
        <v>392</v>
      </c>
      <c r="C162" s="713">
        <v>0</v>
      </c>
      <c r="D162" s="694"/>
    </row>
    <row r="163" spans="2:4" ht="12.75" customHeight="1" hidden="1">
      <c r="B163" s="716" t="s">
        <v>393</v>
      </c>
      <c r="C163" s="713">
        <v>0</v>
      </c>
      <c r="D163" s="694"/>
    </row>
    <row r="164" spans="2:4" ht="12.75" customHeight="1" hidden="1">
      <c r="B164" s="716" t="s">
        <v>394</v>
      </c>
      <c r="C164" s="713">
        <v>0</v>
      </c>
      <c r="D164" s="694"/>
    </row>
    <row r="165" spans="2:4" ht="12.75" customHeight="1" hidden="1">
      <c r="B165" s="716" t="s">
        <v>395</v>
      </c>
      <c r="C165" s="713">
        <v>0</v>
      </c>
      <c r="D165" s="694"/>
    </row>
    <row r="166" spans="2:4" ht="12.75" customHeight="1" hidden="1">
      <c r="B166" s="716" t="s">
        <v>396</v>
      </c>
      <c r="C166" s="713">
        <v>0</v>
      </c>
      <c r="D166" s="694"/>
    </row>
    <row r="167" spans="2:4" ht="12.75" customHeight="1" hidden="1">
      <c r="B167" s="716" t="s">
        <v>397</v>
      </c>
      <c r="C167" s="713">
        <v>0</v>
      </c>
      <c r="D167" s="694"/>
    </row>
    <row r="168" spans="2:4" ht="12.75" customHeight="1" hidden="1">
      <c r="B168" s="716" t="s">
        <v>398</v>
      </c>
      <c r="C168" s="713">
        <v>0</v>
      </c>
      <c r="D168" s="694"/>
    </row>
    <row r="169" spans="2:4" ht="12.75" customHeight="1" hidden="1">
      <c r="B169" s="716" t="s">
        <v>399</v>
      </c>
      <c r="C169" s="713">
        <v>0</v>
      </c>
      <c r="D169" s="694"/>
    </row>
    <row r="170" spans="2:4" ht="12.75" customHeight="1" hidden="1">
      <c r="B170" s="716" t="s">
        <v>400</v>
      </c>
      <c r="C170" s="713">
        <v>0</v>
      </c>
      <c r="D170" s="694"/>
    </row>
    <row r="171" spans="2:4" ht="12.75" customHeight="1" hidden="1">
      <c r="B171" s="714" t="s">
        <v>405</v>
      </c>
      <c r="C171" s="715">
        <v>0</v>
      </c>
      <c r="D171" s="694"/>
    </row>
    <row r="172" spans="2:4" ht="12.75" customHeight="1" hidden="1">
      <c r="B172" s="716" t="s">
        <v>376</v>
      </c>
      <c r="C172" s="713">
        <v>0</v>
      </c>
      <c r="D172" s="694"/>
    </row>
    <row r="173" spans="2:4" ht="12.75" customHeight="1" hidden="1">
      <c r="B173" s="716" t="s">
        <v>377</v>
      </c>
      <c r="C173" s="713">
        <v>0</v>
      </c>
      <c r="D173" s="694"/>
    </row>
    <row r="174" spans="2:4" ht="12.75" customHeight="1" hidden="1">
      <c r="B174" s="716" t="s">
        <v>378</v>
      </c>
      <c r="C174" s="713">
        <v>0</v>
      </c>
      <c r="D174" s="694"/>
    </row>
    <row r="175" spans="2:4" ht="12.75" customHeight="1" hidden="1">
      <c r="B175" s="716" t="s">
        <v>379</v>
      </c>
      <c r="C175" s="713">
        <v>0</v>
      </c>
      <c r="D175" s="694"/>
    </row>
    <row r="176" spans="2:4" ht="12.75" customHeight="1" hidden="1">
      <c r="B176" s="716" t="s">
        <v>380</v>
      </c>
      <c r="C176" s="713">
        <v>0</v>
      </c>
      <c r="D176" s="694"/>
    </row>
    <row r="177" spans="2:4" ht="12.75" customHeight="1" hidden="1">
      <c r="B177" s="716" t="s">
        <v>381</v>
      </c>
      <c r="C177" s="713">
        <v>0</v>
      </c>
      <c r="D177" s="694"/>
    </row>
    <row r="178" spans="2:4" ht="12.75" customHeight="1" hidden="1">
      <c r="B178" s="716" t="s">
        <v>382</v>
      </c>
      <c r="C178" s="713">
        <v>0</v>
      </c>
      <c r="D178" s="694"/>
    </row>
    <row r="179" spans="2:4" ht="12.75" customHeight="1" hidden="1">
      <c r="B179" s="716" t="s">
        <v>383</v>
      </c>
      <c r="C179" s="713">
        <v>0</v>
      </c>
      <c r="D179" s="694"/>
    </row>
    <row r="180" spans="2:4" ht="12.75" customHeight="1" hidden="1">
      <c r="B180" s="716" t="s">
        <v>384</v>
      </c>
      <c r="C180" s="713">
        <v>0</v>
      </c>
      <c r="D180" s="694"/>
    </row>
    <row r="181" spans="2:4" ht="12.75" customHeight="1" hidden="1">
      <c r="B181" s="716" t="s">
        <v>385</v>
      </c>
      <c r="C181" s="713">
        <v>0</v>
      </c>
      <c r="D181" s="694"/>
    </row>
    <row r="182" spans="2:4" ht="12.75" customHeight="1" hidden="1">
      <c r="B182" s="716" t="s">
        <v>386</v>
      </c>
      <c r="C182" s="713">
        <v>0</v>
      </c>
      <c r="D182" s="694"/>
    </row>
    <row r="183" spans="2:4" ht="12.75" customHeight="1" hidden="1">
      <c r="B183" s="716" t="s">
        <v>387</v>
      </c>
      <c r="C183" s="713">
        <v>0</v>
      </c>
      <c r="D183" s="694"/>
    </row>
    <row r="184" spans="2:4" ht="12.75" customHeight="1" hidden="1">
      <c r="B184" s="716" t="s">
        <v>388</v>
      </c>
      <c r="C184" s="713">
        <v>0</v>
      </c>
      <c r="D184" s="694"/>
    </row>
    <row r="185" spans="2:4" ht="12.75" customHeight="1" hidden="1">
      <c r="B185" s="716" t="s">
        <v>389</v>
      </c>
      <c r="C185" s="713">
        <v>0</v>
      </c>
      <c r="D185" s="694"/>
    </row>
    <row r="186" spans="2:4" ht="12.75" customHeight="1" hidden="1">
      <c r="B186" s="716" t="s">
        <v>390</v>
      </c>
      <c r="C186" s="713">
        <v>0</v>
      </c>
      <c r="D186" s="694"/>
    </row>
    <row r="187" spans="2:4" ht="12.75" customHeight="1" hidden="1">
      <c r="B187" s="716" t="s">
        <v>391</v>
      </c>
      <c r="C187" s="713">
        <v>0</v>
      </c>
      <c r="D187" s="694"/>
    </row>
    <row r="188" spans="2:4" ht="12.75" customHeight="1" hidden="1">
      <c r="B188" s="716" t="s">
        <v>392</v>
      </c>
      <c r="C188" s="713">
        <v>0</v>
      </c>
      <c r="D188" s="694"/>
    </row>
    <row r="189" spans="2:4" ht="12.75" customHeight="1" hidden="1">
      <c r="B189" s="716" t="s">
        <v>393</v>
      </c>
      <c r="C189" s="713">
        <v>0</v>
      </c>
      <c r="D189" s="694"/>
    </row>
    <row r="190" spans="2:4" ht="12.75" customHeight="1" hidden="1">
      <c r="B190" s="716" t="s">
        <v>394</v>
      </c>
      <c r="C190" s="713">
        <v>0</v>
      </c>
      <c r="D190" s="694"/>
    </row>
    <row r="191" spans="2:4" ht="12.75" customHeight="1" hidden="1">
      <c r="B191" s="716" t="s">
        <v>395</v>
      </c>
      <c r="C191" s="713">
        <v>0</v>
      </c>
      <c r="D191" s="694"/>
    </row>
    <row r="192" spans="2:4" ht="12.75" customHeight="1" hidden="1">
      <c r="B192" s="716" t="s">
        <v>396</v>
      </c>
      <c r="C192" s="713">
        <v>0</v>
      </c>
      <c r="D192" s="694"/>
    </row>
    <row r="193" spans="2:4" ht="12.75" customHeight="1" hidden="1">
      <c r="B193" s="716" t="s">
        <v>397</v>
      </c>
      <c r="C193" s="713">
        <v>0</v>
      </c>
      <c r="D193" s="694"/>
    </row>
    <row r="194" spans="2:4" ht="12.75" customHeight="1" hidden="1">
      <c r="B194" s="716" t="s">
        <v>398</v>
      </c>
      <c r="C194" s="713">
        <v>0</v>
      </c>
      <c r="D194" s="694"/>
    </row>
    <row r="195" spans="2:4" ht="12.75" customHeight="1" hidden="1">
      <c r="B195" s="716" t="s">
        <v>399</v>
      </c>
      <c r="C195" s="713">
        <v>0</v>
      </c>
      <c r="D195" s="694"/>
    </row>
    <row r="196" spans="2:4" ht="12.75" customHeight="1" hidden="1">
      <c r="B196" s="716" t="s">
        <v>400</v>
      </c>
      <c r="C196" s="713">
        <v>0</v>
      </c>
      <c r="D196" s="694"/>
    </row>
    <row r="197" spans="2:4" ht="12.75" customHeight="1" hidden="1">
      <c r="B197" s="714" t="s">
        <v>406</v>
      </c>
      <c r="C197" s="715">
        <v>0</v>
      </c>
      <c r="D197" s="694"/>
    </row>
    <row r="198" spans="2:4" ht="12.75" customHeight="1" hidden="1">
      <c r="B198" s="716" t="s">
        <v>376</v>
      </c>
      <c r="C198" s="713">
        <v>0</v>
      </c>
      <c r="D198" s="694"/>
    </row>
    <row r="199" spans="2:4" ht="12.75" customHeight="1" hidden="1">
      <c r="B199" s="716" t="s">
        <v>377</v>
      </c>
      <c r="C199" s="713">
        <v>0</v>
      </c>
      <c r="D199" s="694"/>
    </row>
    <row r="200" spans="2:4" ht="12.75" customHeight="1" hidden="1">
      <c r="B200" s="716" t="s">
        <v>378</v>
      </c>
      <c r="C200" s="713">
        <v>0</v>
      </c>
      <c r="D200" s="694"/>
    </row>
    <row r="201" spans="2:4" ht="12.75" customHeight="1" hidden="1">
      <c r="B201" s="716" t="s">
        <v>379</v>
      </c>
      <c r="C201" s="713">
        <v>0</v>
      </c>
      <c r="D201" s="694"/>
    </row>
    <row r="202" spans="2:4" ht="12.75" customHeight="1" hidden="1">
      <c r="B202" s="716" t="s">
        <v>380</v>
      </c>
      <c r="C202" s="713">
        <v>0</v>
      </c>
      <c r="D202" s="694"/>
    </row>
    <row r="203" spans="2:4" ht="12.75" customHeight="1" hidden="1">
      <c r="B203" s="716" t="s">
        <v>381</v>
      </c>
      <c r="C203" s="713">
        <v>0</v>
      </c>
      <c r="D203" s="694"/>
    </row>
    <row r="204" spans="2:4" ht="12.75" customHeight="1" hidden="1">
      <c r="B204" s="716" t="s">
        <v>382</v>
      </c>
      <c r="C204" s="713">
        <v>0</v>
      </c>
      <c r="D204" s="694"/>
    </row>
    <row r="205" spans="2:4" ht="12.75" customHeight="1" hidden="1">
      <c r="B205" s="716" t="s">
        <v>383</v>
      </c>
      <c r="C205" s="713">
        <v>0</v>
      </c>
      <c r="D205" s="694"/>
    </row>
    <row r="206" spans="2:4" ht="12.75" customHeight="1" hidden="1">
      <c r="B206" s="716" t="s">
        <v>384</v>
      </c>
      <c r="C206" s="713">
        <v>0</v>
      </c>
      <c r="D206" s="694"/>
    </row>
    <row r="207" spans="2:4" ht="12.75" customHeight="1" hidden="1">
      <c r="B207" s="716" t="s">
        <v>385</v>
      </c>
      <c r="C207" s="713">
        <v>0</v>
      </c>
      <c r="D207" s="694"/>
    </row>
    <row r="208" spans="2:4" ht="12.75" customHeight="1" hidden="1">
      <c r="B208" s="716" t="s">
        <v>386</v>
      </c>
      <c r="C208" s="713">
        <v>0</v>
      </c>
      <c r="D208" s="694"/>
    </row>
    <row r="209" spans="2:4" ht="12.75" customHeight="1" hidden="1">
      <c r="B209" s="716" t="s">
        <v>387</v>
      </c>
      <c r="C209" s="713">
        <v>0</v>
      </c>
      <c r="D209" s="694"/>
    </row>
    <row r="210" spans="2:4" ht="12.75" customHeight="1" hidden="1">
      <c r="B210" s="716" t="s">
        <v>388</v>
      </c>
      <c r="C210" s="713">
        <v>0</v>
      </c>
      <c r="D210" s="694"/>
    </row>
    <row r="211" spans="2:4" ht="12.75" customHeight="1" hidden="1">
      <c r="B211" s="716" t="s">
        <v>389</v>
      </c>
      <c r="C211" s="713">
        <v>0</v>
      </c>
      <c r="D211" s="694"/>
    </row>
    <row r="212" spans="2:4" ht="12.75" customHeight="1" hidden="1">
      <c r="B212" s="716" t="s">
        <v>390</v>
      </c>
      <c r="C212" s="713">
        <v>0</v>
      </c>
      <c r="D212" s="694"/>
    </row>
    <row r="213" spans="2:4" ht="12.75" customHeight="1" hidden="1">
      <c r="B213" s="716" t="s">
        <v>391</v>
      </c>
      <c r="C213" s="713">
        <v>0</v>
      </c>
      <c r="D213" s="694"/>
    </row>
    <row r="214" spans="2:4" ht="12.75" customHeight="1" hidden="1">
      <c r="B214" s="716" t="s">
        <v>392</v>
      </c>
      <c r="C214" s="713">
        <v>0</v>
      </c>
      <c r="D214" s="694"/>
    </row>
    <row r="215" spans="2:4" ht="12.75" customHeight="1" hidden="1">
      <c r="B215" s="716" t="s">
        <v>393</v>
      </c>
      <c r="C215" s="713">
        <v>0</v>
      </c>
      <c r="D215" s="694"/>
    </row>
    <row r="216" spans="2:4" ht="12.75" customHeight="1" hidden="1">
      <c r="B216" s="716" t="s">
        <v>394</v>
      </c>
      <c r="C216" s="713">
        <v>0</v>
      </c>
      <c r="D216" s="694"/>
    </row>
    <row r="217" spans="2:4" ht="12.75" customHeight="1" hidden="1">
      <c r="B217" s="716" t="s">
        <v>395</v>
      </c>
      <c r="C217" s="713">
        <v>0</v>
      </c>
      <c r="D217" s="694"/>
    </row>
    <row r="218" spans="2:4" ht="12.75" customHeight="1" hidden="1">
      <c r="B218" s="716" t="s">
        <v>396</v>
      </c>
      <c r="C218" s="713">
        <v>0</v>
      </c>
      <c r="D218" s="694"/>
    </row>
    <row r="219" spans="2:4" ht="12.75" customHeight="1" hidden="1">
      <c r="B219" s="716" t="s">
        <v>397</v>
      </c>
      <c r="C219" s="713">
        <v>0</v>
      </c>
      <c r="D219" s="694"/>
    </row>
    <row r="220" spans="2:4" ht="12.75" customHeight="1" hidden="1">
      <c r="B220" s="716" t="s">
        <v>398</v>
      </c>
      <c r="C220" s="713">
        <v>0</v>
      </c>
      <c r="D220" s="694"/>
    </row>
    <row r="221" spans="2:4" ht="12.75" customHeight="1" hidden="1">
      <c r="B221" s="716" t="s">
        <v>399</v>
      </c>
      <c r="C221" s="713">
        <v>0</v>
      </c>
      <c r="D221" s="694"/>
    </row>
    <row r="222" spans="2:4" ht="12.75" customHeight="1" hidden="1">
      <c r="B222" s="716" t="s">
        <v>400</v>
      </c>
      <c r="C222" s="713">
        <v>0</v>
      </c>
      <c r="D222" s="694"/>
    </row>
    <row r="223" spans="2:4" ht="12.75" customHeight="1" hidden="1">
      <c r="B223" s="714" t="s">
        <v>407</v>
      </c>
      <c r="C223" s="715">
        <v>0</v>
      </c>
      <c r="D223" s="694"/>
    </row>
    <row r="224" spans="2:4" ht="12.75" customHeight="1" hidden="1">
      <c r="B224" s="716" t="s">
        <v>376</v>
      </c>
      <c r="C224" s="713">
        <v>0</v>
      </c>
      <c r="D224" s="694"/>
    </row>
    <row r="225" spans="2:4" ht="12.75" customHeight="1" hidden="1">
      <c r="B225" s="716" t="s">
        <v>377</v>
      </c>
      <c r="C225" s="713">
        <v>0</v>
      </c>
      <c r="D225" s="694"/>
    </row>
    <row r="226" spans="2:4" ht="12.75" customHeight="1" hidden="1">
      <c r="B226" s="716" t="s">
        <v>378</v>
      </c>
      <c r="C226" s="713">
        <v>0</v>
      </c>
      <c r="D226" s="694"/>
    </row>
    <row r="227" spans="2:4" ht="12.75" customHeight="1" hidden="1">
      <c r="B227" s="716" t="s">
        <v>379</v>
      </c>
      <c r="C227" s="713">
        <v>0</v>
      </c>
      <c r="D227" s="694"/>
    </row>
    <row r="228" spans="2:4" ht="12.75" customHeight="1" hidden="1">
      <c r="B228" s="716" t="s">
        <v>380</v>
      </c>
      <c r="C228" s="713">
        <v>0</v>
      </c>
      <c r="D228" s="694"/>
    </row>
    <row r="229" spans="2:4" ht="12.75" customHeight="1" hidden="1">
      <c r="B229" s="716" t="s">
        <v>381</v>
      </c>
      <c r="C229" s="713">
        <v>0</v>
      </c>
      <c r="D229" s="694"/>
    </row>
    <row r="230" spans="2:4" ht="12.75" customHeight="1" hidden="1">
      <c r="B230" s="716" t="s">
        <v>382</v>
      </c>
      <c r="C230" s="713">
        <v>0</v>
      </c>
      <c r="D230" s="694"/>
    </row>
    <row r="231" spans="2:4" ht="12.75" customHeight="1" hidden="1">
      <c r="B231" s="716" t="s">
        <v>383</v>
      </c>
      <c r="C231" s="713">
        <v>0</v>
      </c>
      <c r="D231" s="694"/>
    </row>
    <row r="232" spans="2:4" ht="12.75" customHeight="1" hidden="1">
      <c r="B232" s="716" t="s">
        <v>384</v>
      </c>
      <c r="C232" s="713">
        <v>0</v>
      </c>
      <c r="D232" s="694"/>
    </row>
    <row r="233" spans="2:4" ht="12.75" customHeight="1" hidden="1">
      <c r="B233" s="716" t="s">
        <v>385</v>
      </c>
      <c r="C233" s="713">
        <v>0</v>
      </c>
      <c r="D233" s="694"/>
    </row>
    <row r="234" spans="2:4" ht="12.75" customHeight="1" hidden="1">
      <c r="B234" s="716" t="s">
        <v>386</v>
      </c>
      <c r="C234" s="713">
        <v>0</v>
      </c>
      <c r="D234" s="694"/>
    </row>
    <row r="235" spans="2:4" ht="12.75" customHeight="1" hidden="1">
      <c r="B235" s="716" t="s">
        <v>387</v>
      </c>
      <c r="C235" s="713">
        <v>0</v>
      </c>
      <c r="D235" s="694"/>
    </row>
    <row r="236" spans="2:4" ht="12.75" customHeight="1" hidden="1">
      <c r="B236" s="716" t="s">
        <v>388</v>
      </c>
      <c r="C236" s="713">
        <v>0</v>
      </c>
      <c r="D236" s="694"/>
    </row>
    <row r="237" spans="2:4" ht="12.75" customHeight="1" hidden="1">
      <c r="B237" s="716" t="s">
        <v>389</v>
      </c>
      <c r="C237" s="713">
        <v>0</v>
      </c>
      <c r="D237" s="694"/>
    </row>
    <row r="238" spans="2:4" ht="12.75" customHeight="1" hidden="1">
      <c r="B238" s="716" t="s">
        <v>390</v>
      </c>
      <c r="C238" s="713">
        <v>0</v>
      </c>
      <c r="D238" s="694"/>
    </row>
    <row r="239" spans="2:4" ht="12.75" customHeight="1" hidden="1">
      <c r="B239" s="716" t="s">
        <v>391</v>
      </c>
      <c r="C239" s="713">
        <v>0</v>
      </c>
      <c r="D239" s="694"/>
    </row>
    <row r="240" spans="2:4" ht="12.75" customHeight="1" hidden="1">
      <c r="B240" s="716" t="s">
        <v>392</v>
      </c>
      <c r="C240" s="713">
        <v>0</v>
      </c>
      <c r="D240" s="694"/>
    </row>
    <row r="241" spans="2:4" ht="12.75" customHeight="1" hidden="1">
      <c r="B241" s="716" t="s">
        <v>393</v>
      </c>
      <c r="C241" s="713">
        <v>0</v>
      </c>
      <c r="D241" s="694"/>
    </row>
    <row r="242" spans="2:4" ht="12.75" customHeight="1" hidden="1">
      <c r="B242" s="716" t="s">
        <v>394</v>
      </c>
      <c r="C242" s="713">
        <v>0</v>
      </c>
      <c r="D242" s="694"/>
    </row>
    <row r="243" spans="2:4" ht="12.75" customHeight="1" hidden="1">
      <c r="B243" s="716" t="s">
        <v>395</v>
      </c>
      <c r="C243" s="713">
        <v>0</v>
      </c>
      <c r="D243" s="694"/>
    </row>
    <row r="244" spans="2:4" ht="12.75" customHeight="1" hidden="1">
      <c r="B244" s="716" t="s">
        <v>396</v>
      </c>
      <c r="C244" s="713">
        <v>0</v>
      </c>
      <c r="D244" s="694"/>
    </row>
    <row r="245" spans="2:4" ht="12.75" customHeight="1" hidden="1">
      <c r="B245" s="716" t="s">
        <v>397</v>
      </c>
      <c r="C245" s="713">
        <v>0</v>
      </c>
      <c r="D245" s="694"/>
    </row>
    <row r="246" spans="2:4" ht="12.75" customHeight="1" hidden="1">
      <c r="B246" s="716" t="s">
        <v>398</v>
      </c>
      <c r="C246" s="713">
        <v>0</v>
      </c>
      <c r="D246" s="694"/>
    </row>
    <row r="247" spans="2:4" ht="12.75" customHeight="1" hidden="1">
      <c r="B247" s="716" t="s">
        <v>399</v>
      </c>
      <c r="C247" s="713">
        <v>0</v>
      </c>
      <c r="D247" s="694"/>
    </row>
    <row r="248" spans="2:4" ht="12.75" customHeight="1" hidden="1">
      <c r="B248" s="716" t="s">
        <v>400</v>
      </c>
      <c r="C248" s="713">
        <v>0</v>
      </c>
      <c r="D248" s="694"/>
    </row>
    <row r="249" spans="2:4" ht="12.75" customHeight="1" hidden="1">
      <c r="B249" s="714" t="s">
        <v>408</v>
      </c>
      <c r="C249" s="715">
        <v>0</v>
      </c>
      <c r="D249" s="694"/>
    </row>
    <row r="250" spans="2:4" ht="12.75" customHeight="1" hidden="1">
      <c r="B250" s="716" t="s">
        <v>376</v>
      </c>
      <c r="C250" s="713">
        <v>0</v>
      </c>
      <c r="D250" s="694"/>
    </row>
    <row r="251" spans="2:4" ht="12.75" customHeight="1" hidden="1">
      <c r="B251" s="716" t="s">
        <v>377</v>
      </c>
      <c r="C251" s="713">
        <v>0</v>
      </c>
      <c r="D251" s="694"/>
    </row>
    <row r="252" spans="2:4" ht="12.75" customHeight="1" hidden="1">
      <c r="B252" s="716" t="s">
        <v>378</v>
      </c>
      <c r="C252" s="713">
        <v>0</v>
      </c>
      <c r="D252" s="694"/>
    </row>
    <row r="253" spans="2:4" ht="12.75" customHeight="1" hidden="1">
      <c r="B253" s="716" t="s">
        <v>379</v>
      </c>
      <c r="C253" s="713">
        <v>0</v>
      </c>
      <c r="D253" s="694"/>
    </row>
    <row r="254" spans="2:4" ht="12.75" customHeight="1" hidden="1">
      <c r="B254" s="716" t="s">
        <v>380</v>
      </c>
      <c r="C254" s="713">
        <v>0</v>
      </c>
      <c r="D254" s="694"/>
    </row>
    <row r="255" spans="2:4" ht="12.75" customHeight="1" hidden="1">
      <c r="B255" s="716" t="s">
        <v>381</v>
      </c>
      <c r="C255" s="713">
        <v>0</v>
      </c>
      <c r="D255" s="694"/>
    </row>
    <row r="256" spans="2:4" ht="12.75" customHeight="1" hidden="1">
      <c r="B256" s="716" t="s">
        <v>382</v>
      </c>
      <c r="C256" s="713">
        <v>0</v>
      </c>
      <c r="D256" s="694"/>
    </row>
    <row r="257" spans="2:4" ht="12.75" customHeight="1" hidden="1">
      <c r="B257" s="716" t="s">
        <v>383</v>
      </c>
      <c r="C257" s="713">
        <v>0</v>
      </c>
      <c r="D257" s="694"/>
    </row>
    <row r="258" spans="2:4" ht="12.75" customHeight="1" hidden="1">
      <c r="B258" s="716" t="s">
        <v>384</v>
      </c>
      <c r="C258" s="713">
        <v>0</v>
      </c>
      <c r="D258" s="694"/>
    </row>
    <row r="259" spans="2:4" ht="12.75" customHeight="1" hidden="1">
      <c r="B259" s="716" t="s">
        <v>385</v>
      </c>
      <c r="C259" s="713">
        <v>0</v>
      </c>
      <c r="D259" s="694"/>
    </row>
    <row r="260" spans="2:4" ht="12.75" customHeight="1" hidden="1">
      <c r="B260" s="716" t="s">
        <v>386</v>
      </c>
      <c r="C260" s="713">
        <v>0</v>
      </c>
      <c r="D260" s="694"/>
    </row>
    <row r="261" spans="2:4" ht="12.75" customHeight="1" hidden="1">
      <c r="B261" s="716" t="s">
        <v>387</v>
      </c>
      <c r="C261" s="713">
        <v>0</v>
      </c>
      <c r="D261" s="694"/>
    </row>
    <row r="262" spans="2:4" ht="12.75" customHeight="1" hidden="1">
      <c r="B262" s="716" t="s">
        <v>388</v>
      </c>
      <c r="C262" s="713">
        <v>0</v>
      </c>
      <c r="D262" s="694"/>
    </row>
    <row r="263" spans="2:4" ht="12.75" customHeight="1" hidden="1">
      <c r="B263" s="716" t="s">
        <v>389</v>
      </c>
      <c r="C263" s="713">
        <v>0</v>
      </c>
      <c r="D263" s="694"/>
    </row>
    <row r="264" spans="2:4" ht="12.75" customHeight="1" hidden="1">
      <c r="B264" s="716" t="s">
        <v>390</v>
      </c>
      <c r="C264" s="713">
        <v>0</v>
      </c>
      <c r="D264" s="694"/>
    </row>
    <row r="265" spans="2:4" ht="12.75" customHeight="1" hidden="1">
      <c r="B265" s="716" t="s">
        <v>391</v>
      </c>
      <c r="C265" s="713">
        <v>0</v>
      </c>
      <c r="D265" s="694"/>
    </row>
    <row r="266" spans="2:4" ht="12.75" customHeight="1" hidden="1">
      <c r="B266" s="716" t="s">
        <v>392</v>
      </c>
      <c r="C266" s="713">
        <v>0</v>
      </c>
      <c r="D266" s="694"/>
    </row>
    <row r="267" spans="2:4" ht="12.75" customHeight="1" hidden="1">
      <c r="B267" s="716" t="s">
        <v>393</v>
      </c>
      <c r="C267" s="713">
        <v>0</v>
      </c>
      <c r="D267" s="694"/>
    </row>
    <row r="268" spans="2:4" ht="12.75" customHeight="1" hidden="1">
      <c r="B268" s="716" t="s">
        <v>394</v>
      </c>
      <c r="C268" s="713">
        <v>0</v>
      </c>
      <c r="D268" s="694"/>
    </row>
    <row r="269" spans="2:4" ht="12.75" customHeight="1" hidden="1">
      <c r="B269" s="716" t="s">
        <v>395</v>
      </c>
      <c r="C269" s="713">
        <v>0</v>
      </c>
      <c r="D269" s="694"/>
    </row>
    <row r="270" spans="2:4" ht="12.75" customHeight="1" hidden="1">
      <c r="B270" s="716" t="s">
        <v>396</v>
      </c>
      <c r="C270" s="713">
        <v>0</v>
      </c>
      <c r="D270" s="694"/>
    </row>
    <row r="271" spans="2:4" ht="12.75" customHeight="1" hidden="1">
      <c r="B271" s="716" t="s">
        <v>397</v>
      </c>
      <c r="C271" s="713">
        <v>0</v>
      </c>
      <c r="D271" s="694"/>
    </row>
    <row r="272" spans="2:4" ht="12.75" customHeight="1" hidden="1">
      <c r="B272" s="716" t="s">
        <v>398</v>
      </c>
      <c r="C272" s="713">
        <v>0</v>
      </c>
      <c r="D272" s="694"/>
    </row>
    <row r="273" spans="2:4" ht="12.75" customHeight="1" hidden="1">
      <c r="B273" s="716" t="s">
        <v>399</v>
      </c>
      <c r="C273" s="713">
        <v>0</v>
      </c>
      <c r="D273" s="694"/>
    </row>
    <row r="274" spans="2:4" ht="12.75" customHeight="1" hidden="1">
      <c r="B274" s="716" t="s">
        <v>400</v>
      </c>
      <c r="C274" s="713">
        <v>0</v>
      </c>
      <c r="D274" s="694"/>
    </row>
    <row r="275" spans="2:4" ht="12.75">
      <c r="B275" s="708" t="s">
        <v>409</v>
      </c>
      <c r="C275" s="710">
        <v>100</v>
      </c>
      <c r="D275" s="692"/>
    </row>
    <row r="276" spans="2:5" ht="12.75">
      <c r="B276" s="708" t="s">
        <v>410</v>
      </c>
      <c r="C276" s="709">
        <v>15</v>
      </c>
      <c r="D276" s="692"/>
      <c r="E276" t="s">
        <v>424</v>
      </c>
    </row>
    <row r="277" spans="2:5" ht="12.75">
      <c r="B277" s="708" t="s">
        <v>411</v>
      </c>
      <c r="C277" s="709">
        <v>15</v>
      </c>
      <c r="D277" s="692"/>
      <c r="E277" t="s">
        <v>424</v>
      </c>
    </row>
    <row r="278" spans="2:5" ht="12.75">
      <c r="B278" s="708" t="s">
        <v>412</v>
      </c>
      <c r="C278" s="709">
        <f>0.07*(C275+C12)</f>
        <v>14.000000000000002</v>
      </c>
      <c r="D278" s="692"/>
      <c r="E278" t="s">
        <v>425</v>
      </c>
    </row>
    <row r="279" spans="2:4" ht="12.75" customHeight="1" hidden="1">
      <c r="B279" s="714" t="s">
        <v>375</v>
      </c>
      <c r="C279" s="715">
        <v>0</v>
      </c>
      <c r="D279" s="694"/>
    </row>
    <row r="280" spans="2:4" ht="12.75" customHeight="1" hidden="1">
      <c r="B280" s="716" t="s">
        <v>413</v>
      </c>
      <c r="C280" s="713">
        <v>0</v>
      </c>
      <c r="D280" s="694"/>
    </row>
    <row r="281" spans="2:4" ht="12.75" customHeight="1" hidden="1">
      <c r="B281" s="714" t="s">
        <v>401</v>
      </c>
      <c r="C281" s="715">
        <v>0</v>
      </c>
      <c r="D281" s="694"/>
    </row>
    <row r="282" spans="2:4" ht="12.75" customHeight="1" hidden="1">
      <c r="B282" s="716" t="s">
        <v>413</v>
      </c>
      <c r="C282" s="713">
        <v>0</v>
      </c>
      <c r="D282" s="694"/>
    </row>
    <row r="283" spans="2:4" ht="12.75" customHeight="1" hidden="1">
      <c r="B283" s="714" t="s">
        <v>402</v>
      </c>
      <c r="C283" s="715">
        <v>0</v>
      </c>
      <c r="D283" s="694"/>
    </row>
    <row r="284" spans="2:4" ht="12.75" customHeight="1" hidden="1">
      <c r="B284" s="716" t="s">
        <v>413</v>
      </c>
      <c r="C284" s="713">
        <v>0</v>
      </c>
      <c r="D284" s="694"/>
    </row>
    <row r="285" spans="2:4" ht="12.75" customHeight="1" hidden="1">
      <c r="B285" s="714" t="s">
        <v>403</v>
      </c>
      <c r="C285" s="715">
        <v>0</v>
      </c>
      <c r="D285" s="694"/>
    </row>
    <row r="286" spans="2:4" ht="12.75" customHeight="1" hidden="1">
      <c r="B286" s="716" t="s">
        <v>413</v>
      </c>
      <c r="C286" s="713">
        <v>0</v>
      </c>
      <c r="D286" s="694"/>
    </row>
    <row r="287" spans="2:4" ht="12.75" customHeight="1" hidden="1">
      <c r="B287" s="714" t="s">
        <v>404</v>
      </c>
      <c r="C287" s="715">
        <v>0</v>
      </c>
      <c r="D287" s="694"/>
    </row>
    <row r="288" spans="2:4" ht="12.75" customHeight="1" hidden="1">
      <c r="B288" s="716" t="s">
        <v>413</v>
      </c>
      <c r="C288" s="713">
        <v>0</v>
      </c>
      <c r="D288" s="694"/>
    </row>
    <row r="289" spans="2:4" ht="12.75" customHeight="1" hidden="1">
      <c r="B289" s="714" t="s">
        <v>405</v>
      </c>
      <c r="C289" s="715">
        <v>0</v>
      </c>
      <c r="D289" s="694"/>
    </row>
    <row r="290" spans="2:4" ht="12.75" customHeight="1" hidden="1">
      <c r="B290" s="716" t="s">
        <v>413</v>
      </c>
      <c r="C290" s="713">
        <v>0</v>
      </c>
      <c r="D290" s="694"/>
    </row>
    <row r="291" spans="2:4" ht="12.75" customHeight="1" hidden="1">
      <c r="B291" s="714" t="s">
        <v>406</v>
      </c>
      <c r="C291" s="715">
        <v>0</v>
      </c>
      <c r="D291" s="694"/>
    </row>
    <row r="292" spans="2:4" ht="12.75" customHeight="1" hidden="1">
      <c r="B292" s="716" t="s">
        <v>413</v>
      </c>
      <c r="C292" s="713">
        <v>0</v>
      </c>
      <c r="D292" s="694"/>
    </row>
    <row r="293" spans="2:4" ht="12.75" customHeight="1" hidden="1">
      <c r="B293" s="714" t="s">
        <v>407</v>
      </c>
      <c r="C293" s="715">
        <v>0</v>
      </c>
      <c r="D293" s="694"/>
    </row>
    <row r="294" spans="2:4" ht="12.75" customHeight="1" hidden="1">
      <c r="B294" s="716" t="s">
        <v>413</v>
      </c>
      <c r="C294" s="713">
        <v>0</v>
      </c>
      <c r="D294" s="694"/>
    </row>
    <row r="295" spans="2:4" ht="12.75" customHeight="1" hidden="1">
      <c r="B295" s="714" t="s">
        <v>408</v>
      </c>
      <c r="C295" s="715">
        <v>0</v>
      </c>
      <c r="D295" s="694"/>
    </row>
    <row r="296" spans="2:4" ht="12.75" customHeight="1" hidden="1">
      <c r="B296" s="716" t="s">
        <v>413</v>
      </c>
      <c r="C296" s="713">
        <v>0</v>
      </c>
      <c r="D296" s="694"/>
    </row>
    <row r="297" spans="2:5" ht="12.75">
      <c r="B297" s="708" t="s">
        <v>414</v>
      </c>
      <c r="C297" s="709">
        <f>0.005*SUM(C8:C12,C275:C298)</f>
        <v>1.526315789473684</v>
      </c>
      <c r="D297" s="692"/>
      <c r="E297" s="695" t="s">
        <v>422</v>
      </c>
    </row>
    <row r="298" spans="2:5" ht="12.75">
      <c r="B298" s="708" t="s">
        <v>415</v>
      </c>
      <c r="C298" s="709">
        <v>7</v>
      </c>
      <c r="D298" s="692"/>
      <c r="E298" t="s">
        <v>423</v>
      </c>
    </row>
    <row r="299" spans="2:5" ht="12.75">
      <c r="B299" s="708" t="s">
        <v>416</v>
      </c>
      <c r="C299" s="709">
        <f>0.3*SUM(C275:C298,C12,C9:C11,C8)</f>
        <v>91.57894736842104</v>
      </c>
      <c r="D299" s="692"/>
      <c r="E299" s="693">
        <v>0.3</v>
      </c>
    </row>
    <row r="300" spans="2:4" ht="12.75">
      <c r="B300" s="706" t="s">
        <v>417</v>
      </c>
      <c r="C300" s="707">
        <f>SUM(C301:C302)</f>
        <v>17.25</v>
      </c>
      <c r="D300" s="692"/>
    </row>
    <row r="301" spans="2:7" ht="12.75">
      <c r="B301" s="708" t="s">
        <v>418</v>
      </c>
      <c r="C301" s="709">
        <f>15*F301</f>
        <v>15</v>
      </c>
      <c r="D301" s="692"/>
      <c r="E301" t="s">
        <v>419</v>
      </c>
      <c r="F301" s="696">
        <v>1</v>
      </c>
      <c r="G301" t="s">
        <v>11</v>
      </c>
    </row>
    <row r="302" spans="2:5" ht="12.75">
      <c r="B302" s="708" t="s">
        <v>420</v>
      </c>
      <c r="C302" s="709">
        <f>C301*0.15</f>
        <v>2.25</v>
      </c>
      <c r="D302" s="692"/>
      <c r="E302" s="693">
        <v>0.15</v>
      </c>
    </row>
    <row r="303" spans="2:4" ht="12.75">
      <c r="B303" s="706" t="s">
        <v>421</v>
      </c>
      <c r="C303" s="710">
        <v>100</v>
      </c>
      <c r="D303" s="692"/>
    </row>
    <row r="304" spans="2:3" ht="13.5" thickBot="1">
      <c r="B304" s="717"/>
      <c r="C304" s="718"/>
    </row>
  </sheetData>
  <mergeCells count="1">
    <mergeCell ref="B2:B3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B5:D10"/>
  <sheetViews>
    <sheetView showGridLines="0" workbookViewId="0" topLeftCell="A1">
      <selection activeCell="B3" sqref="B3"/>
    </sheetView>
  </sheetViews>
  <sheetFormatPr defaultColWidth="9.140625" defaultRowHeight="12.75"/>
  <cols>
    <col min="2" max="2" width="18.57421875" style="0" customWidth="1"/>
    <col min="3" max="3" width="17.140625" style="0" customWidth="1"/>
    <col min="4" max="4" width="19.7109375" style="0" customWidth="1"/>
  </cols>
  <sheetData>
    <row r="4" ht="13.5" thickBot="1"/>
    <row r="5" spans="3:4" ht="26.25" thickBot="1">
      <c r="C5" s="676" t="s">
        <v>354</v>
      </c>
      <c r="D5" s="677" t="s">
        <v>355</v>
      </c>
    </row>
    <row r="6" spans="2:4" ht="12.75">
      <c r="B6" s="678" t="s">
        <v>356</v>
      </c>
      <c r="C6" s="679" t="s">
        <v>357</v>
      </c>
      <c r="D6" s="680">
        <v>0.2</v>
      </c>
    </row>
    <row r="7" spans="2:4" ht="12.75">
      <c r="B7" s="681" t="s">
        <v>358</v>
      </c>
      <c r="C7" s="679" t="s">
        <v>359</v>
      </c>
      <c r="D7" s="680">
        <v>0.05</v>
      </c>
    </row>
    <row r="8" spans="2:4" ht="13.5" thickBot="1">
      <c r="B8" s="682" t="s">
        <v>360</v>
      </c>
      <c r="C8" s="683" t="s">
        <v>361</v>
      </c>
      <c r="D8" s="684">
        <v>0.005</v>
      </c>
    </row>
    <row r="10" ht="12.75">
      <c r="B10" s="685" t="s">
        <v>362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Jet Propulsion Laboratory</dc:creator>
  <cp:keywords/>
  <dc:description/>
  <cp:lastModifiedBy>Jet Propulsion Laboratory</cp:lastModifiedBy>
  <dcterms:created xsi:type="dcterms:W3CDTF">2009-06-30T02:21:38Z</dcterms:created>
  <dcterms:modified xsi:type="dcterms:W3CDTF">2009-07-14T00:28:21Z</dcterms:modified>
  <cp:category/>
  <cp:version/>
  <cp:contentType/>
  <cp:contentStatus/>
</cp:coreProperties>
</file>